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11460" tabRatio="825"/>
  </bookViews>
  <sheets>
    <sheet name="сводная" sheetId="42" r:id="rId1"/>
    <sheet name="1-пн" sheetId="43" r:id="rId2"/>
    <sheet name="1-вт" sheetId="50" r:id="rId3"/>
    <sheet name="1-ср" sheetId="48" r:id="rId4"/>
    <sheet name="1-чт" sheetId="52" r:id="rId5"/>
    <sheet name="1-пт" sheetId="54" r:id="rId6"/>
    <sheet name="2-пн" sheetId="49" r:id="rId7"/>
    <sheet name="2-вт" sheetId="55" r:id="rId8"/>
    <sheet name="2-ср" sheetId="56" r:id="rId9"/>
    <sheet name="2-чт" sheetId="46" r:id="rId10"/>
    <sheet name="2-пт" sheetId="57" r:id="rId11"/>
    <sheet name="000" sheetId="29" r:id="rId12"/>
  </sheets>
  <definedNames>
    <definedName name="_xlnm.Print_Area" localSheetId="2">'1-вт'!$A$1:$O$33</definedName>
    <definedName name="_xlnm.Print_Area" localSheetId="1">'1-пн'!$A$1:$O$38</definedName>
    <definedName name="_xlnm.Print_Area" localSheetId="5">'1-пт'!$A$3:$N$30</definedName>
    <definedName name="_xlnm.Print_Area" localSheetId="3">'1-ср'!$A$3:$N$35</definedName>
    <definedName name="_xlnm.Print_Area" localSheetId="4">'1-чт'!$A$3:$N$31</definedName>
    <definedName name="_xlnm.Print_Area" localSheetId="7">'2-вт'!$A$3:$N$29</definedName>
    <definedName name="_xlnm.Print_Area" localSheetId="6">'2-пн'!$A$1:$N$32</definedName>
    <definedName name="_xlnm.Print_Area" localSheetId="10">'2-пт'!$A$1:$O$38</definedName>
    <definedName name="_xlnm.Print_Area" localSheetId="8">'2-ср'!$A$2:$N$33</definedName>
    <definedName name="_xlnm.Print_Area" localSheetId="9">'2-чт'!$A$1:$N$33</definedName>
    <definedName name="_xlnm.Print_Area" localSheetId="0">сводная!#REF!</definedName>
  </definedNames>
  <calcPr calcId="162913"/>
</workbook>
</file>

<file path=xl/calcChain.xml><?xml version="1.0" encoding="utf-8"?>
<calcChain xmlns="http://schemas.openxmlformats.org/spreadsheetml/2006/main">
  <c r="L16" i="57" l="1"/>
  <c r="K16" i="57"/>
  <c r="J16" i="57"/>
  <c r="I16" i="57"/>
  <c r="H16" i="57"/>
  <c r="N16" i="57" s="1"/>
  <c r="G16" i="57"/>
  <c r="M16" i="57" s="1"/>
  <c r="L17" i="46" l="1"/>
  <c r="K17" i="46"/>
  <c r="J17" i="46"/>
  <c r="I17" i="46"/>
  <c r="H17" i="46"/>
  <c r="N17" i="46" s="1"/>
  <c r="G17" i="46"/>
  <c r="M17" i="46" s="1"/>
  <c r="L17" i="48"/>
  <c r="K17" i="48"/>
  <c r="J17" i="48"/>
  <c r="I17" i="48"/>
  <c r="H17" i="48"/>
  <c r="N17" i="48" s="1"/>
  <c r="G17" i="48"/>
  <c r="M17" i="48" s="1"/>
  <c r="L25" i="43"/>
  <c r="K25" i="43"/>
  <c r="J25" i="43"/>
  <c r="I25" i="43"/>
  <c r="H25" i="43"/>
  <c r="N25" i="43" s="1"/>
  <c r="G25" i="43"/>
  <c r="M25" i="43" s="1"/>
  <c r="L19" i="55" l="1"/>
  <c r="K19" i="55"/>
  <c r="J19" i="55"/>
  <c r="I19" i="55"/>
  <c r="H19" i="55"/>
  <c r="N19" i="55" s="1"/>
  <c r="G19" i="55"/>
  <c r="M19" i="55" s="1"/>
  <c r="L8" i="54"/>
  <c r="K8" i="54"/>
  <c r="J8" i="54"/>
  <c r="I8" i="54"/>
  <c r="H8" i="54"/>
  <c r="N8" i="54" s="1"/>
  <c r="G8" i="54"/>
  <c r="M8" i="54" s="1"/>
  <c r="L25" i="57"/>
  <c r="K25" i="57"/>
  <c r="J25" i="57"/>
  <c r="I25" i="57"/>
  <c r="H25" i="57"/>
  <c r="N25" i="57" s="1"/>
  <c r="G25" i="57"/>
  <c r="M25" i="57" s="1"/>
  <c r="L26" i="57"/>
  <c r="K26" i="57"/>
  <c r="J26" i="57"/>
  <c r="I26" i="57"/>
  <c r="H26" i="57"/>
  <c r="N26" i="57" s="1"/>
  <c r="G26" i="57"/>
  <c r="M26" i="57" s="1"/>
  <c r="L19" i="57"/>
  <c r="K19" i="57"/>
  <c r="J19" i="57"/>
  <c r="I19" i="57"/>
  <c r="H19" i="57"/>
  <c r="N19" i="57" s="1"/>
  <c r="G19" i="57"/>
  <c r="M19" i="57" s="1"/>
  <c r="L18" i="57"/>
  <c r="K18" i="57"/>
  <c r="J18" i="57"/>
  <c r="I18" i="57"/>
  <c r="H18" i="57"/>
  <c r="N18" i="57" s="1"/>
  <c r="G18" i="57"/>
  <c r="M18" i="57" s="1"/>
  <c r="G17" i="57"/>
  <c r="H17" i="57"/>
  <c r="I17" i="57"/>
  <c r="J17" i="57"/>
  <c r="K17" i="57"/>
  <c r="L17" i="57"/>
  <c r="M17" i="57"/>
  <c r="N17" i="57"/>
  <c r="L13" i="57"/>
  <c r="K13" i="57"/>
  <c r="J13" i="57"/>
  <c r="I13" i="57"/>
  <c r="H13" i="57"/>
  <c r="N13" i="57" s="1"/>
  <c r="G13" i="57"/>
  <c r="M13" i="57" s="1"/>
  <c r="L7" i="57"/>
  <c r="K7" i="57"/>
  <c r="J7" i="57"/>
  <c r="I7" i="57"/>
  <c r="H7" i="57"/>
  <c r="N7" i="57" s="1"/>
  <c r="G7" i="57"/>
  <c r="M7" i="57" s="1"/>
  <c r="L27" i="46" l="1"/>
  <c r="K27" i="46"/>
  <c r="J27" i="46"/>
  <c r="I27" i="46"/>
  <c r="H27" i="46"/>
  <c r="N27" i="46" s="1"/>
  <c r="G27" i="46"/>
  <c r="M27" i="46" s="1"/>
  <c r="L26" i="46"/>
  <c r="K26" i="46"/>
  <c r="J26" i="46"/>
  <c r="I26" i="46"/>
  <c r="H26" i="46"/>
  <c r="N26" i="46" s="1"/>
  <c r="G26" i="46"/>
  <c r="M26" i="46" s="1"/>
  <c r="L21" i="46"/>
  <c r="K21" i="46"/>
  <c r="J21" i="46"/>
  <c r="I21" i="46"/>
  <c r="H21" i="46"/>
  <c r="N21" i="46" s="1"/>
  <c r="G21" i="46"/>
  <c r="M21" i="46" s="1"/>
  <c r="L20" i="46"/>
  <c r="K20" i="46"/>
  <c r="J20" i="46"/>
  <c r="I20" i="46"/>
  <c r="H20" i="46"/>
  <c r="N20" i="46" s="1"/>
  <c r="G20" i="46"/>
  <c r="M20" i="46" s="1"/>
  <c r="L19" i="46"/>
  <c r="K19" i="46"/>
  <c r="J19" i="46"/>
  <c r="I19" i="46"/>
  <c r="H19" i="46"/>
  <c r="N19" i="46" s="1"/>
  <c r="G19" i="46"/>
  <c r="M19" i="46" s="1"/>
  <c r="L18" i="46"/>
  <c r="K18" i="46"/>
  <c r="J18" i="46"/>
  <c r="I18" i="46"/>
  <c r="H18" i="46"/>
  <c r="N18" i="46" s="1"/>
  <c r="G18" i="46"/>
  <c r="M18" i="46" s="1"/>
  <c r="L14" i="46"/>
  <c r="K14" i="46"/>
  <c r="J14" i="46"/>
  <c r="I14" i="46"/>
  <c r="H14" i="46"/>
  <c r="N14" i="46" s="1"/>
  <c r="G14" i="46"/>
  <c r="M14" i="46" s="1"/>
  <c r="L10" i="46"/>
  <c r="K10" i="46"/>
  <c r="J10" i="46"/>
  <c r="I10" i="46"/>
  <c r="H10" i="46"/>
  <c r="N10" i="46" s="1"/>
  <c r="G10" i="46"/>
  <c r="M10" i="46" s="1"/>
  <c r="L8" i="46"/>
  <c r="K8" i="46"/>
  <c r="J8" i="46"/>
  <c r="I8" i="46"/>
  <c r="H8" i="46"/>
  <c r="N8" i="46" s="1"/>
  <c r="G8" i="46"/>
  <c r="M8" i="46" s="1"/>
  <c r="L26" i="56"/>
  <c r="K26" i="56"/>
  <c r="J26" i="56"/>
  <c r="I26" i="56"/>
  <c r="H26" i="56"/>
  <c r="N26" i="56" s="1"/>
  <c r="G26" i="56"/>
  <c r="M26" i="56" s="1"/>
  <c r="L21" i="56"/>
  <c r="K21" i="56"/>
  <c r="J21" i="56"/>
  <c r="I21" i="56"/>
  <c r="H21" i="56"/>
  <c r="N21" i="56" s="1"/>
  <c r="G21" i="56"/>
  <c r="M21" i="56" s="1"/>
  <c r="L19" i="56"/>
  <c r="K19" i="56"/>
  <c r="J19" i="56"/>
  <c r="I19" i="56"/>
  <c r="H19" i="56"/>
  <c r="N19" i="56" s="1"/>
  <c r="G19" i="56"/>
  <c r="M19" i="56" s="1"/>
  <c r="L18" i="56"/>
  <c r="K18" i="56"/>
  <c r="J18" i="56"/>
  <c r="I18" i="56"/>
  <c r="H18" i="56"/>
  <c r="N18" i="56" s="1"/>
  <c r="G18" i="56"/>
  <c r="M18" i="56" s="1"/>
  <c r="L17" i="56"/>
  <c r="K17" i="56"/>
  <c r="J17" i="56"/>
  <c r="I17" i="56"/>
  <c r="H17" i="56"/>
  <c r="N17" i="56" s="1"/>
  <c r="G17" i="56"/>
  <c r="M17" i="56" s="1"/>
  <c r="L11" i="55"/>
  <c r="K11" i="55"/>
  <c r="J11" i="55"/>
  <c r="I11" i="55"/>
  <c r="H11" i="55"/>
  <c r="N11" i="55" s="1"/>
  <c r="G11" i="55"/>
  <c r="M11" i="55" s="1"/>
  <c r="L10" i="56"/>
  <c r="K10" i="56"/>
  <c r="J10" i="56"/>
  <c r="I10" i="56"/>
  <c r="H10" i="56"/>
  <c r="N10" i="56" s="1"/>
  <c r="G10" i="56"/>
  <c r="M10" i="56" s="1"/>
  <c r="L8" i="56"/>
  <c r="K8" i="56"/>
  <c r="J8" i="56"/>
  <c r="I8" i="56"/>
  <c r="H8" i="56"/>
  <c r="N8" i="56" s="1"/>
  <c r="G8" i="56"/>
  <c r="M8" i="56" s="1"/>
  <c r="L26" i="55"/>
  <c r="K26" i="55"/>
  <c r="J26" i="55"/>
  <c r="I26" i="55"/>
  <c r="H26" i="55"/>
  <c r="N26" i="55" s="1"/>
  <c r="G26" i="55"/>
  <c r="M26" i="55" s="1"/>
  <c r="L21" i="55"/>
  <c r="K21" i="55"/>
  <c r="J21" i="55"/>
  <c r="I21" i="55"/>
  <c r="H21" i="55"/>
  <c r="N21" i="55" s="1"/>
  <c r="G21" i="55"/>
  <c r="M21" i="55" s="1"/>
  <c r="L20" i="55" l="1"/>
  <c r="K20" i="55"/>
  <c r="J20" i="55"/>
  <c r="I20" i="55"/>
  <c r="H20" i="55"/>
  <c r="N20" i="55" s="1"/>
  <c r="G20" i="55"/>
  <c r="M20" i="55" s="1"/>
  <c r="L18" i="55"/>
  <c r="K18" i="55"/>
  <c r="J18" i="55"/>
  <c r="I18" i="55"/>
  <c r="H18" i="55"/>
  <c r="N18" i="55" s="1"/>
  <c r="G18" i="55"/>
  <c r="M18" i="55" s="1"/>
  <c r="L17" i="55"/>
  <c r="K17" i="55"/>
  <c r="J17" i="55"/>
  <c r="I17" i="55"/>
  <c r="H17" i="55"/>
  <c r="N17" i="55" s="1"/>
  <c r="G17" i="55"/>
  <c r="M17" i="55" s="1"/>
  <c r="L14" i="55"/>
  <c r="K14" i="55"/>
  <c r="J14" i="55"/>
  <c r="I14" i="55"/>
  <c r="H14" i="55"/>
  <c r="N14" i="55" s="1"/>
  <c r="G14" i="55"/>
  <c r="M14" i="55" s="1"/>
  <c r="L8" i="55"/>
  <c r="K8" i="55"/>
  <c r="J8" i="55"/>
  <c r="I8" i="55"/>
  <c r="H8" i="55"/>
  <c r="N8" i="55" s="1"/>
  <c r="G8" i="55"/>
  <c r="M8" i="55" s="1"/>
  <c r="L27" i="49"/>
  <c r="K27" i="49"/>
  <c r="J27" i="49"/>
  <c r="I27" i="49"/>
  <c r="H27" i="49"/>
  <c r="N27" i="49" s="1"/>
  <c r="G27" i="49"/>
  <c r="M27" i="49" s="1"/>
  <c r="L20" i="49"/>
  <c r="K20" i="49"/>
  <c r="J20" i="49"/>
  <c r="I20" i="49"/>
  <c r="H20" i="49"/>
  <c r="N20" i="49" s="1"/>
  <c r="G20" i="49"/>
  <c r="M20" i="49" s="1"/>
  <c r="L19" i="49"/>
  <c r="K19" i="49"/>
  <c r="J19" i="49"/>
  <c r="I19" i="49"/>
  <c r="H19" i="49"/>
  <c r="N19" i="49" s="1"/>
  <c r="G19" i="49"/>
  <c r="M19" i="49" s="1"/>
  <c r="L17" i="49"/>
  <c r="K17" i="49"/>
  <c r="J17" i="49"/>
  <c r="I17" i="49"/>
  <c r="H17" i="49"/>
  <c r="N17" i="49" s="1"/>
  <c r="G17" i="49"/>
  <c r="M17" i="49" s="1"/>
  <c r="G18" i="49"/>
  <c r="H18" i="49"/>
  <c r="I18" i="49"/>
  <c r="J18" i="49"/>
  <c r="K18" i="49"/>
  <c r="L18" i="49"/>
  <c r="M18" i="49"/>
  <c r="N18" i="49"/>
  <c r="L10" i="49" l="1"/>
  <c r="K10" i="49"/>
  <c r="J10" i="49"/>
  <c r="I10" i="49"/>
  <c r="H10" i="49"/>
  <c r="N10" i="49" s="1"/>
  <c r="G10" i="49"/>
  <c r="M10" i="49" s="1"/>
  <c r="L8" i="49"/>
  <c r="K8" i="49"/>
  <c r="J8" i="49"/>
  <c r="I8" i="49"/>
  <c r="H8" i="49"/>
  <c r="N8" i="49" s="1"/>
  <c r="G8" i="49"/>
  <c r="M8" i="49" s="1"/>
  <c r="L20" i="54" l="1"/>
  <c r="K20" i="54"/>
  <c r="J20" i="54"/>
  <c r="I20" i="54"/>
  <c r="H20" i="54"/>
  <c r="N20" i="54" s="1"/>
  <c r="G20" i="54"/>
  <c r="M20" i="54" s="1"/>
  <c r="L26" i="54" l="1"/>
  <c r="K26" i="54"/>
  <c r="J26" i="54"/>
  <c r="I26" i="54"/>
  <c r="H26" i="54"/>
  <c r="N26" i="54" s="1"/>
  <c r="G26" i="54"/>
  <c r="M26" i="54" s="1"/>
  <c r="L28" i="50"/>
  <c r="K28" i="50"/>
  <c r="J28" i="50"/>
  <c r="I28" i="50"/>
  <c r="H28" i="50"/>
  <c r="N28" i="50" s="1"/>
  <c r="G28" i="50"/>
  <c r="M28" i="50" s="1"/>
  <c r="L25" i="54"/>
  <c r="K25" i="54"/>
  <c r="J25" i="54"/>
  <c r="I25" i="54"/>
  <c r="H25" i="54"/>
  <c r="N25" i="54" s="1"/>
  <c r="G25" i="54"/>
  <c r="M25" i="54" s="1"/>
  <c r="L17" i="54"/>
  <c r="K17" i="54"/>
  <c r="J17" i="54"/>
  <c r="I17" i="54"/>
  <c r="H17" i="54"/>
  <c r="N17" i="54" s="1"/>
  <c r="G17" i="54"/>
  <c r="M17" i="54" s="1"/>
  <c r="L11" i="54"/>
  <c r="K11" i="54"/>
  <c r="J11" i="54"/>
  <c r="I11" i="54"/>
  <c r="H11" i="54"/>
  <c r="N11" i="54" s="1"/>
  <c r="G11" i="54"/>
  <c r="M11" i="54" s="1"/>
  <c r="L9" i="54"/>
  <c r="K9" i="54"/>
  <c r="J9" i="54"/>
  <c r="I9" i="54"/>
  <c r="H9" i="54"/>
  <c r="N9" i="54" s="1"/>
  <c r="G9" i="54"/>
  <c r="M9" i="54" s="1"/>
  <c r="L14" i="54"/>
  <c r="K14" i="54"/>
  <c r="J14" i="54"/>
  <c r="I14" i="54"/>
  <c r="H14" i="54"/>
  <c r="N14" i="54" s="1"/>
  <c r="G14" i="54"/>
  <c r="M14" i="54" s="1"/>
  <c r="L27" i="52"/>
  <c r="K27" i="52"/>
  <c r="J27" i="52"/>
  <c r="I27" i="52"/>
  <c r="H27" i="52"/>
  <c r="N27" i="52" s="1"/>
  <c r="G27" i="52"/>
  <c r="M27" i="52" s="1"/>
  <c r="L26" i="52"/>
  <c r="K26" i="52"/>
  <c r="J26" i="52"/>
  <c r="I26" i="52"/>
  <c r="H26" i="52"/>
  <c r="N26" i="52" s="1"/>
  <c r="G26" i="52"/>
  <c r="M26" i="52" s="1"/>
  <c r="L28" i="52" l="1"/>
  <c r="K28" i="52"/>
  <c r="J28" i="52"/>
  <c r="I28" i="52"/>
  <c r="H28" i="52"/>
  <c r="N28" i="52" s="1"/>
  <c r="G28" i="52"/>
  <c r="M28" i="52" s="1"/>
  <c r="L21" i="52"/>
  <c r="K21" i="52"/>
  <c r="J21" i="52"/>
  <c r="I21" i="52"/>
  <c r="H21" i="52"/>
  <c r="N21" i="52" s="1"/>
  <c r="G21" i="52"/>
  <c r="M21" i="52" s="1"/>
  <c r="L20" i="52"/>
  <c r="K20" i="52"/>
  <c r="J20" i="52"/>
  <c r="I20" i="52"/>
  <c r="H20" i="52"/>
  <c r="N20" i="52" s="1"/>
  <c r="G20" i="52"/>
  <c r="M20" i="52" s="1"/>
  <c r="L19" i="52"/>
  <c r="K19" i="52"/>
  <c r="J19" i="52"/>
  <c r="I19" i="52"/>
  <c r="H19" i="52"/>
  <c r="N19" i="52" s="1"/>
  <c r="G19" i="52"/>
  <c r="M19" i="52" s="1"/>
  <c r="L18" i="52"/>
  <c r="K18" i="52"/>
  <c r="J18" i="52"/>
  <c r="I18" i="52"/>
  <c r="H18" i="52"/>
  <c r="N18" i="52" s="1"/>
  <c r="G18" i="52"/>
  <c r="M18" i="52" s="1"/>
  <c r="L17" i="52"/>
  <c r="K17" i="52"/>
  <c r="J17" i="52"/>
  <c r="I17" i="52"/>
  <c r="H17" i="52"/>
  <c r="N17" i="52" s="1"/>
  <c r="G17" i="52"/>
  <c r="M17" i="52" s="1"/>
  <c r="L9" i="52"/>
  <c r="K9" i="52"/>
  <c r="J9" i="52"/>
  <c r="I9" i="52"/>
  <c r="H9" i="52"/>
  <c r="N9" i="52" s="1"/>
  <c r="G9" i="52"/>
  <c r="M9" i="52" s="1"/>
  <c r="L8" i="52"/>
  <c r="K8" i="52"/>
  <c r="J8" i="52"/>
  <c r="I8" i="52"/>
  <c r="H8" i="52"/>
  <c r="N8" i="52" s="1"/>
  <c r="G8" i="52"/>
  <c r="M8" i="52" s="1"/>
  <c r="L14" i="52"/>
  <c r="K14" i="52"/>
  <c r="J14" i="52"/>
  <c r="I14" i="52"/>
  <c r="H14" i="52"/>
  <c r="N14" i="52" s="1"/>
  <c r="G14" i="52"/>
  <c r="M14" i="52" s="1"/>
  <c r="L11" i="52"/>
  <c r="K11" i="52"/>
  <c r="J11" i="52"/>
  <c r="I11" i="52"/>
  <c r="H11" i="52"/>
  <c r="N11" i="52" s="1"/>
  <c r="G11" i="52"/>
  <c r="M11" i="52" s="1"/>
  <c r="L26" i="48" l="1"/>
  <c r="K26" i="48"/>
  <c r="J26" i="48"/>
  <c r="I26" i="48"/>
  <c r="H26" i="48"/>
  <c r="N26" i="48" s="1"/>
  <c r="G26" i="48"/>
  <c r="M26" i="48" s="1"/>
  <c r="L25" i="48"/>
  <c r="K25" i="48"/>
  <c r="J25" i="48"/>
  <c r="I25" i="48"/>
  <c r="H25" i="48"/>
  <c r="N25" i="48" s="1"/>
  <c r="G25" i="48"/>
  <c r="M25" i="48" s="1"/>
  <c r="L19" i="48"/>
  <c r="K19" i="48"/>
  <c r="J19" i="48"/>
  <c r="I19" i="48"/>
  <c r="H19" i="48"/>
  <c r="N19" i="48" s="1"/>
  <c r="G19" i="48"/>
  <c r="M19" i="48" s="1"/>
  <c r="L18" i="48"/>
  <c r="K18" i="48"/>
  <c r="J18" i="48"/>
  <c r="I18" i="48"/>
  <c r="H18" i="48"/>
  <c r="N18" i="48" s="1"/>
  <c r="G18" i="48"/>
  <c r="M18" i="48" s="1"/>
  <c r="L14" i="48"/>
  <c r="K14" i="48"/>
  <c r="J14" i="48"/>
  <c r="I14" i="48"/>
  <c r="H14" i="48"/>
  <c r="N14" i="48" s="1"/>
  <c r="G14" i="48"/>
  <c r="M14" i="48" s="1"/>
  <c r="L11" i="48"/>
  <c r="K11" i="48"/>
  <c r="J11" i="48"/>
  <c r="I11" i="48"/>
  <c r="H11" i="48"/>
  <c r="N11" i="48" s="1"/>
  <c r="G11" i="48"/>
  <c r="M11" i="48" s="1"/>
  <c r="L9" i="48"/>
  <c r="K9" i="48"/>
  <c r="J9" i="48"/>
  <c r="I9" i="48"/>
  <c r="H9" i="48"/>
  <c r="N9" i="48" s="1"/>
  <c r="G9" i="48"/>
  <c r="M9" i="48" s="1"/>
  <c r="L27" i="50"/>
  <c r="K27" i="50"/>
  <c r="J27" i="50"/>
  <c r="I27" i="50"/>
  <c r="H27" i="50"/>
  <c r="N27" i="50" s="1"/>
  <c r="G27" i="50"/>
  <c r="M27" i="50" s="1"/>
  <c r="L8" i="48"/>
  <c r="K8" i="48"/>
  <c r="J8" i="48"/>
  <c r="I8" i="48"/>
  <c r="H8" i="48"/>
  <c r="N8" i="48" s="1"/>
  <c r="G8" i="48"/>
  <c r="M8" i="48" s="1"/>
  <c r="L17" i="50"/>
  <c r="K17" i="50"/>
  <c r="J17" i="50"/>
  <c r="I17" i="50"/>
  <c r="H17" i="50"/>
  <c r="N17" i="50" s="1"/>
  <c r="G17" i="50"/>
  <c r="M17" i="50" s="1"/>
  <c r="L14" i="50"/>
  <c r="K14" i="50"/>
  <c r="J14" i="50"/>
  <c r="I14" i="50"/>
  <c r="H14" i="50"/>
  <c r="N14" i="50" s="1"/>
  <c r="G14" i="50"/>
  <c r="M14" i="50" s="1"/>
  <c r="L11" i="50"/>
  <c r="K11" i="50"/>
  <c r="J11" i="50"/>
  <c r="I11" i="50"/>
  <c r="H11" i="50"/>
  <c r="N11" i="50" s="1"/>
  <c r="G11" i="50"/>
  <c r="M11" i="50" s="1"/>
  <c r="L8" i="50"/>
  <c r="K8" i="50"/>
  <c r="L9" i="50"/>
  <c r="K9" i="50"/>
  <c r="J9" i="50"/>
  <c r="I9" i="50"/>
  <c r="H9" i="50"/>
  <c r="N9" i="50" s="1"/>
  <c r="G9" i="50"/>
  <c r="M9" i="50" s="1"/>
  <c r="L28" i="43"/>
  <c r="K28" i="43"/>
  <c r="J28" i="43"/>
  <c r="I28" i="43"/>
  <c r="H28" i="43"/>
  <c r="N28" i="43" s="1"/>
  <c r="G28" i="43"/>
  <c r="L35" i="43"/>
  <c r="K35" i="43"/>
  <c r="J35" i="43"/>
  <c r="I35" i="43"/>
  <c r="H35" i="43"/>
  <c r="N35" i="43" s="1"/>
  <c r="G35" i="43"/>
  <c r="M35" i="43" s="1"/>
  <c r="L34" i="43"/>
  <c r="K34" i="43"/>
  <c r="J34" i="43"/>
  <c r="I34" i="43"/>
  <c r="H34" i="43"/>
  <c r="N34" i="43" s="1"/>
  <c r="G34" i="43"/>
  <c r="M34" i="43" s="1"/>
  <c r="L17" i="43"/>
  <c r="K17" i="43"/>
  <c r="J17" i="43"/>
  <c r="I17" i="43"/>
  <c r="H17" i="43"/>
  <c r="N17" i="43" s="1"/>
  <c r="G17" i="43"/>
  <c r="M17" i="43" s="1"/>
  <c r="G26" i="43"/>
  <c r="H26" i="43"/>
  <c r="I26" i="43"/>
  <c r="J26" i="43"/>
  <c r="K26" i="43"/>
  <c r="L26" i="43"/>
  <c r="M26" i="43"/>
  <c r="N26" i="43"/>
  <c r="L22" i="43"/>
  <c r="K22" i="43"/>
  <c r="J22" i="43"/>
  <c r="I22" i="43"/>
  <c r="H22" i="43"/>
  <c r="N22" i="43" s="1"/>
  <c r="G22" i="43"/>
  <c r="M22" i="43" s="1"/>
  <c r="M28" i="43" l="1"/>
  <c r="F27" i="57" l="1"/>
  <c r="E27" i="57"/>
  <c r="L27" i="57"/>
  <c r="K27" i="57"/>
  <c r="J27" i="57"/>
  <c r="I27" i="57"/>
  <c r="H27" i="57"/>
  <c r="G27" i="57"/>
  <c r="F23" i="57"/>
  <c r="E23" i="57"/>
  <c r="L22" i="57"/>
  <c r="K22" i="57"/>
  <c r="J22" i="57"/>
  <c r="I22" i="57"/>
  <c r="H22" i="57"/>
  <c r="N22" i="57" s="1"/>
  <c r="G22" i="57"/>
  <c r="M22" i="57" s="1"/>
  <c r="L21" i="57"/>
  <c r="K21" i="57"/>
  <c r="J21" i="57"/>
  <c r="I21" i="57"/>
  <c r="H21" i="57"/>
  <c r="N21" i="57" s="1"/>
  <c r="G21" i="57"/>
  <c r="M21" i="57" s="1"/>
  <c r="L20" i="57"/>
  <c r="K20" i="57"/>
  <c r="J20" i="57"/>
  <c r="I20" i="57"/>
  <c r="H20" i="57"/>
  <c r="N20" i="57" s="1"/>
  <c r="G20" i="57"/>
  <c r="M20" i="57" s="1"/>
  <c r="L23" i="57"/>
  <c r="K23" i="57"/>
  <c r="J23" i="57"/>
  <c r="I23" i="57"/>
  <c r="H23" i="57"/>
  <c r="G23" i="57"/>
  <c r="F14" i="57"/>
  <c r="E14" i="57"/>
  <c r="L14" i="57"/>
  <c r="K14" i="57"/>
  <c r="J14" i="57"/>
  <c r="I14" i="57"/>
  <c r="H14" i="57"/>
  <c r="G14" i="57"/>
  <c r="M14" i="57" s="1"/>
  <c r="F11" i="57"/>
  <c r="E11" i="57"/>
  <c r="L10" i="57"/>
  <c r="K10" i="57"/>
  <c r="J10" i="57"/>
  <c r="I10" i="57"/>
  <c r="H10" i="57"/>
  <c r="N10" i="57" s="1"/>
  <c r="G10" i="57"/>
  <c r="M10" i="57" s="1"/>
  <c r="L9" i="57"/>
  <c r="K9" i="57"/>
  <c r="J9" i="57"/>
  <c r="I9" i="57"/>
  <c r="H9" i="57"/>
  <c r="N9" i="57" s="1"/>
  <c r="G9" i="57"/>
  <c r="M9" i="57" s="1"/>
  <c r="L8" i="57"/>
  <c r="K8" i="57"/>
  <c r="K11" i="57" s="1"/>
  <c r="J8" i="57"/>
  <c r="I8" i="57"/>
  <c r="I11" i="57" s="1"/>
  <c r="H8" i="57"/>
  <c r="N8" i="57" s="1"/>
  <c r="G8" i="57"/>
  <c r="M8" i="57" s="1"/>
  <c r="J11" i="57"/>
  <c r="G11" i="57"/>
  <c r="F29" i="56"/>
  <c r="E29" i="56"/>
  <c r="L28" i="56"/>
  <c r="K28" i="56"/>
  <c r="J28" i="56"/>
  <c r="I28" i="56"/>
  <c r="H28" i="56"/>
  <c r="N28" i="56" s="1"/>
  <c r="G28" i="56"/>
  <c r="M28" i="56" s="1"/>
  <c r="L27" i="56"/>
  <c r="K27" i="56"/>
  <c r="J27" i="56"/>
  <c r="I27" i="56"/>
  <c r="I29" i="56" s="1"/>
  <c r="H27" i="56"/>
  <c r="N27" i="56" s="1"/>
  <c r="G27" i="56"/>
  <c r="L29" i="56"/>
  <c r="J29" i="56"/>
  <c r="H29" i="56"/>
  <c r="F24" i="56"/>
  <c r="E24" i="56"/>
  <c r="L23" i="56"/>
  <c r="K23" i="56"/>
  <c r="J23" i="56"/>
  <c r="I23" i="56"/>
  <c r="H23" i="56"/>
  <c r="N23" i="56" s="1"/>
  <c r="G23" i="56"/>
  <c r="M23" i="56" s="1"/>
  <c r="L22" i="56"/>
  <c r="K22" i="56"/>
  <c r="J22" i="56"/>
  <c r="I22" i="56"/>
  <c r="H22" i="56"/>
  <c r="N22" i="56" s="1"/>
  <c r="G22" i="56"/>
  <c r="M22" i="56" s="1"/>
  <c r="L20" i="56"/>
  <c r="K20" i="56"/>
  <c r="J20" i="56"/>
  <c r="I20" i="56"/>
  <c r="H20" i="56"/>
  <c r="N20" i="56" s="1"/>
  <c r="G20" i="56"/>
  <c r="M20" i="56" s="1"/>
  <c r="L24" i="56"/>
  <c r="K24" i="56"/>
  <c r="J24" i="56"/>
  <c r="H24" i="56"/>
  <c r="F15" i="56"/>
  <c r="E15" i="56"/>
  <c r="L14" i="56"/>
  <c r="L15" i="56" s="1"/>
  <c r="K14" i="56"/>
  <c r="K15" i="56" s="1"/>
  <c r="J14" i="56"/>
  <c r="J15" i="56" s="1"/>
  <c r="I14" i="56"/>
  <c r="I15" i="56" s="1"/>
  <c r="H14" i="56"/>
  <c r="H15" i="56" s="1"/>
  <c r="N15" i="56" s="1"/>
  <c r="G14" i="56"/>
  <c r="G15" i="56" s="1"/>
  <c r="M15" i="56" s="1"/>
  <c r="F12" i="56"/>
  <c r="E12" i="56"/>
  <c r="L11" i="56"/>
  <c r="K11" i="56"/>
  <c r="J11" i="56"/>
  <c r="I11" i="56"/>
  <c r="H11" i="56"/>
  <c r="N11" i="56" s="1"/>
  <c r="G11" i="56"/>
  <c r="M11" i="56" s="1"/>
  <c r="L9" i="56"/>
  <c r="K9" i="56"/>
  <c r="J9" i="56"/>
  <c r="I9" i="56"/>
  <c r="H9" i="56"/>
  <c r="N9" i="56" s="1"/>
  <c r="G9" i="56"/>
  <c r="M9" i="56" s="1"/>
  <c r="L12" i="56"/>
  <c r="K12" i="56"/>
  <c r="J12" i="56"/>
  <c r="I12" i="56"/>
  <c r="H12" i="56"/>
  <c r="N12" i="56" s="1"/>
  <c r="G12" i="56"/>
  <c r="M12" i="56" s="1"/>
  <c r="F28" i="55"/>
  <c r="E28" i="55"/>
  <c r="L27" i="55"/>
  <c r="K27" i="55"/>
  <c r="J27" i="55"/>
  <c r="I27" i="55"/>
  <c r="H27" i="55"/>
  <c r="N27" i="55" s="1"/>
  <c r="G27" i="55"/>
  <c r="M27" i="55" s="1"/>
  <c r="L28" i="55"/>
  <c r="K28" i="55"/>
  <c r="J28" i="55"/>
  <c r="I28" i="55"/>
  <c r="H28" i="55"/>
  <c r="G28" i="55"/>
  <c r="F24" i="55"/>
  <c r="E24" i="55"/>
  <c r="L23" i="55"/>
  <c r="K23" i="55"/>
  <c r="J23" i="55"/>
  <c r="I23" i="55"/>
  <c r="H23" i="55"/>
  <c r="N23" i="55" s="1"/>
  <c r="G23" i="55"/>
  <c r="M23" i="55" s="1"/>
  <c r="L22" i="55"/>
  <c r="K22" i="55"/>
  <c r="J22" i="55"/>
  <c r="J24" i="55" s="1"/>
  <c r="I22" i="55"/>
  <c r="H22" i="55"/>
  <c r="N22" i="55" s="1"/>
  <c r="G22" i="55"/>
  <c r="M22" i="55" s="1"/>
  <c r="L24" i="55"/>
  <c r="I24" i="55"/>
  <c r="F15" i="55"/>
  <c r="E15" i="55"/>
  <c r="L15" i="55"/>
  <c r="K15" i="55"/>
  <c r="J15" i="55"/>
  <c r="I15" i="55"/>
  <c r="H15" i="55"/>
  <c r="N15" i="55" s="1"/>
  <c r="G15" i="55"/>
  <c r="M15" i="55" s="1"/>
  <c r="F12" i="55"/>
  <c r="E12" i="55"/>
  <c r="L10" i="55"/>
  <c r="K10" i="55"/>
  <c r="J10" i="55"/>
  <c r="I10" i="55"/>
  <c r="H10" i="55"/>
  <c r="N10" i="55" s="1"/>
  <c r="G10" i="55"/>
  <c r="M10" i="55" s="1"/>
  <c r="L9" i="55"/>
  <c r="K9" i="55"/>
  <c r="J9" i="55"/>
  <c r="I9" i="55"/>
  <c r="H9" i="55"/>
  <c r="N9" i="55" s="1"/>
  <c r="G9" i="55"/>
  <c r="M9" i="55" s="1"/>
  <c r="L12" i="55"/>
  <c r="K12" i="55"/>
  <c r="J12" i="55"/>
  <c r="I12" i="55"/>
  <c r="H12" i="55"/>
  <c r="N12" i="55" s="1"/>
  <c r="F27" i="54"/>
  <c r="E27" i="54"/>
  <c r="L27" i="54"/>
  <c r="K27" i="54"/>
  <c r="J27" i="54"/>
  <c r="I27" i="54"/>
  <c r="H27" i="54"/>
  <c r="G27" i="54"/>
  <c r="F23" i="54"/>
  <c r="E23" i="54"/>
  <c r="L22" i="54"/>
  <c r="K22" i="54"/>
  <c r="J22" i="54"/>
  <c r="I22" i="54"/>
  <c r="H22" i="54"/>
  <c r="N22" i="54" s="1"/>
  <c r="G22" i="54"/>
  <c r="M22" i="54" s="1"/>
  <c r="L21" i="54"/>
  <c r="K21" i="54"/>
  <c r="J21" i="54"/>
  <c r="I21" i="54"/>
  <c r="H21" i="54"/>
  <c r="N21" i="54" s="1"/>
  <c r="G21" i="54"/>
  <c r="M21" i="54" s="1"/>
  <c r="L19" i="54"/>
  <c r="K19" i="54"/>
  <c r="J19" i="54"/>
  <c r="I19" i="54"/>
  <c r="H19" i="54"/>
  <c r="N19" i="54" s="1"/>
  <c r="G19" i="54"/>
  <c r="M19" i="54" s="1"/>
  <c r="L18" i="54"/>
  <c r="K18" i="54"/>
  <c r="J18" i="54"/>
  <c r="I18" i="54"/>
  <c r="H18" i="54"/>
  <c r="N18" i="54" s="1"/>
  <c r="G18" i="54"/>
  <c r="M18" i="54" s="1"/>
  <c r="L23" i="54"/>
  <c r="K23" i="54"/>
  <c r="J23" i="54"/>
  <c r="I23" i="54"/>
  <c r="H23" i="54"/>
  <c r="G23" i="54"/>
  <c r="F15" i="54"/>
  <c r="E15" i="54"/>
  <c r="L15" i="54"/>
  <c r="K15" i="54"/>
  <c r="J15" i="54"/>
  <c r="I15" i="54"/>
  <c r="H15" i="54"/>
  <c r="N15" i="54" s="1"/>
  <c r="F12" i="54"/>
  <c r="E12" i="54"/>
  <c r="L10" i="54"/>
  <c r="K10" i="54"/>
  <c r="J10" i="54"/>
  <c r="I10" i="54"/>
  <c r="H10" i="54"/>
  <c r="N10" i="54" s="1"/>
  <c r="G10" i="54"/>
  <c r="M10" i="54" s="1"/>
  <c r="L12" i="54"/>
  <c r="K12" i="54"/>
  <c r="J12" i="54"/>
  <c r="G12" i="54"/>
  <c r="F29" i="52"/>
  <c r="E29" i="52"/>
  <c r="L29" i="52"/>
  <c r="K29" i="52"/>
  <c r="J29" i="52"/>
  <c r="H29" i="52"/>
  <c r="G29" i="52"/>
  <c r="F24" i="52"/>
  <c r="E24" i="52"/>
  <c r="L23" i="52"/>
  <c r="K23" i="52"/>
  <c r="J23" i="52"/>
  <c r="I23" i="52"/>
  <c r="H23" i="52"/>
  <c r="N23" i="52" s="1"/>
  <c r="G23" i="52"/>
  <c r="M23" i="52" s="1"/>
  <c r="L22" i="52"/>
  <c r="K22" i="52"/>
  <c r="J22" i="52"/>
  <c r="I22" i="52"/>
  <c r="H22" i="52"/>
  <c r="N22" i="52" s="1"/>
  <c r="G22" i="52"/>
  <c r="M22" i="52" s="1"/>
  <c r="L24" i="52"/>
  <c r="K24" i="52"/>
  <c r="J24" i="52"/>
  <c r="I24" i="52"/>
  <c r="H24" i="52"/>
  <c r="G24" i="52"/>
  <c r="F15" i="52"/>
  <c r="E15" i="52"/>
  <c r="L15" i="52"/>
  <c r="K15" i="52"/>
  <c r="J15" i="52"/>
  <c r="I15" i="52"/>
  <c r="H15" i="52"/>
  <c r="N15" i="52" s="1"/>
  <c r="F12" i="52"/>
  <c r="E12" i="52"/>
  <c r="L10" i="52"/>
  <c r="K10" i="52"/>
  <c r="J10" i="52"/>
  <c r="I10" i="52"/>
  <c r="H10" i="52"/>
  <c r="N10" i="52" s="1"/>
  <c r="G10" i="52"/>
  <c r="M10" i="52" s="1"/>
  <c r="L12" i="52"/>
  <c r="K12" i="52"/>
  <c r="J12" i="52"/>
  <c r="G12" i="52"/>
  <c r="H12" i="54" l="1"/>
  <c r="H24" i="55"/>
  <c r="G24" i="56"/>
  <c r="M11" i="57"/>
  <c r="N12" i="54"/>
  <c r="H12" i="52"/>
  <c r="N12" i="52" s="1"/>
  <c r="N14" i="57"/>
  <c r="L11" i="57"/>
  <c r="L28" i="57" s="1"/>
  <c r="H11" i="57"/>
  <c r="N11" i="57" s="1"/>
  <c r="G28" i="57"/>
  <c r="I28" i="57"/>
  <c r="K28" i="57"/>
  <c r="N23" i="57"/>
  <c r="J28" i="57"/>
  <c r="N27" i="57"/>
  <c r="N28" i="57" s="1"/>
  <c r="M23" i="57"/>
  <c r="M27" i="57"/>
  <c r="I24" i="56"/>
  <c r="G29" i="56"/>
  <c r="K29" i="56"/>
  <c r="G24" i="55"/>
  <c r="K24" i="55"/>
  <c r="K29" i="55" s="1"/>
  <c r="G12" i="55"/>
  <c r="M12" i="55" s="1"/>
  <c r="I30" i="56"/>
  <c r="G30" i="56"/>
  <c r="K30" i="56"/>
  <c r="M14" i="56"/>
  <c r="H30" i="56"/>
  <c r="J30" i="56"/>
  <c r="L30" i="56"/>
  <c r="M27" i="56"/>
  <c r="M29" i="56" s="1"/>
  <c r="M24" i="56"/>
  <c r="N14" i="56"/>
  <c r="N24" i="56"/>
  <c r="N29" i="56"/>
  <c r="I29" i="55"/>
  <c r="M24" i="55"/>
  <c r="M28" i="55"/>
  <c r="H29" i="55"/>
  <c r="J29" i="55"/>
  <c r="L29" i="55"/>
  <c r="N24" i="55"/>
  <c r="N28" i="55"/>
  <c r="I12" i="54"/>
  <c r="M12" i="54" s="1"/>
  <c r="G15" i="54"/>
  <c r="G28" i="54" s="1"/>
  <c r="I12" i="52"/>
  <c r="M12" i="52" s="1"/>
  <c r="G15" i="52"/>
  <c r="G30" i="52" s="1"/>
  <c r="I29" i="52"/>
  <c r="I30" i="52" s="1"/>
  <c r="M15" i="54"/>
  <c r="K28" i="54"/>
  <c r="M23" i="54"/>
  <c r="M27" i="54"/>
  <c r="H28" i="54"/>
  <c r="J28" i="54"/>
  <c r="L28" i="54"/>
  <c r="N23" i="54"/>
  <c r="N27" i="54"/>
  <c r="K30" i="52"/>
  <c r="M24" i="52"/>
  <c r="H30" i="52"/>
  <c r="J30" i="52"/>
  <c r="L30" i="52"/>
  <c r="M29" i="52"/>
  <c r="N24" i="52"/>
  <c r="N29" i="52"/>
  <c r="F29" i="50"/>
  <c r="E29" i="50"/>
  <c r="L26" i="50"/>
  <c r="L29" i="50" s="1"/>
  <c r="K26" i="50"/>
  <c r="K29" i="50" s="1"/>
  <c r="J26" i="50"/>
  <c r="J29" i="50" s="1"/>
  <c r="I26" i="50"/>
  <c r="I29" i="50" s="1"/>
  <c r="H26" i="50"/>
  <c r="H29" i="50" s="1"/>
  <c r="G26" i="50"/>
  <c r="G29" i="50" s="1"/>
  <c r="F24" i="50"/>
  <c r="E24" i="50"/>
  <c r="L23" i="50"/>
  <c r="K23" i="50"/>
  <c r="J23" i="50"/>
  <c r="I23" i="50"/>
  <c r="H23" i="50"/>
  <c r="N23" i="50" s="1"/>
  <c r="G23" i="50"/>
  <c r="M23" i="50" s="1"/>
  <c r="L22" i="50"/>
  <c r="K22" i="50"/>
  <c r="J22" i="50"/>
  <c r="I22" i="50"/>
  <c r="H22" i="50"/>
  <c r="N22" i="50" s="1"/>
  <c r="G22" i="50"/>
  <c r="M22" i="50" s="1"/>
  <c r="L21" i="50"/>
  <c r="K21" i="50"/>
  <c r="J21" i="50"/>
  <c r="I21" i="50"/>
  <c r="H21" i="50"/>
  <c r="N21" i="50" s="1"/>
  <c r="G21" i="50"/>
  <c r="M21" i="50" s="1"/>
  <c r="L20" i="50"/>
  <c r="K20" i="50"/>
  <c r="J20" i="50"/>
  <c r="I20" i="50"/>
  <c r="H20" i="50"/>
  <c r="N20" i="50" s="1"/>
  <c r="G20" i="50"/>
  <c r="M20" i="50" s="1"/>
  <c r="L19" i="50"/>
  <c r="K19" i="50"/>
  <c r="J19" i="50"/>
  <c r="I19" i="50"/>
  <c r="H19" i="50"/>
  <c r="N19" i="50" s="1"/>
  <c r="G19" i="50"/>
  <c r="M19" i="50" s="1"/>
  <c r="L18" i="50"/>
  <c r="K18" i="50"/>
  <c r="J18" i="50"/>
  <c r="I18" i="50"/>
  <c r="H18" i="50"/>
  <c r="N18" i="50" s="1"/>
  <c r="G18" i="50"/>
  <c r="M18" i="50" s="1"/>
  <c r="L24" i="50"/>
  <c r="K24" i="50"/>
  <c r="J24" i="50"/>
  <c r="I24" i="50"/>
  <c r="H24" i="50"/>
  <c r="G24" i="50"/>
  <c r="F15" i="50"/>
  <c r="E15" i="50"/>
  <c r="L15" i="50"/>
  <c r="K15" i="50"/>
  <c r="J15" i="50"/>
  <c r="I15" i="50"/>
  <c r="H15" i="50"/>
  <c r="N15" i="50" s="1"/>
  <c r="F12" i="50"/>
  <c r="E12" i="50"/>
  <c r="L10" i="50"/>
  <c r="K10" i="50"/>
  <c r="J10" i="50"/>
  <c r="I10" i="50"/>
  <c r="H10" i="50"/>
  <c r="N10" i="50" s="1"/>
  <c r="G10" i="50"/>
  <c r="M10" i="50" s="1"/>
  <c r="L12" i="50"/>
  <c r="K12" i="50"/>
  <c r="J8" i="50"/>
  <c r="J12" i="50" s="1"/>
  <c r="I8" i="50"/>
  <c r="H8" i="50"/>
  <c r="H12" i="50" s="1"/>
  <c r="N12" i="50" s="1"/>
  <c r="G8" i="50"/>
  <c r="M15" i="52" l="1"/>
  <c r="M30" i="56"/>
  <c r="G29" i="55"/>
  <c r="I28" i="54"/>
  <c r="H28" i="57"/>
  <c r="M28" i="57"/>
  <c r="N30" i="56"/>
  <c r="N29" i="55"/>
  <c r="M29" i="55"/>
  <c r="N30" i="52"/>
  <c r="M30" i="52"/>
  <c r="N28" i="54"/>
  <c r="M28" i="54"/>
  <c r="G15" i="50"/>
  <c r="M15" i="50" s="1"/>
  <c r="G12" i="50"/>
  <c r="I12" i="50"/>
  <c r="I30" i="50" s="1"/>
  <c r="M24" i="50"/>
  <c r="K30" i="50"/>
  <c r="M8" i="50"/>
  <c r="H30" i="50"/>
  <c r="J30" i="50"/>
  <c r="L30" i="50"/>
  <c r="M26" i="50"/>
  <c r="M29" i="50" s="1"/>
  <c r="N8" i="50"/>
  <c r="N24" i="50"/>
  <c r="N26" i="50"/>
  <c r="N29" i="50" s="1"/>
  <c r="G30" i="50" l="1"/>
  <c r="N30" i="50"/>
  <c r="M12" i="50"/>
  <c r="M30" i="50" s="1"/>
  <c r="F15" i="49" l="1"/>
  <c r="E15" i="49"/>
  <c r="L14" i="49"/>
  <c r="L15" i="49" s="1"/>
  <c r="K14" i="49"/>
  <c r="K15" i="49" s="1"/>
  <c r="J14" i="49"/>
  <c r="J15" i="49" s="1"/>
  <c r="I14" i="49"/>
  <c r="I15" i="49" s="1"/>
  <c r="H14" i="49"/>
  <c r="H15" i="49" s="1"/>
  <c r="G14" i="49"/>
  <c r="G15" i="49" s="1"/>
  <c r="L9" i="46"/>
  <c r="K9" i="46"/>
  <c r="J9" i="46"/>
  <c r="I9" i="46"/>
  <c r="H9" i="46"/>
  <c r="N9" i="46" s="1"/>
  <c r="G9" i="46"/>
  <c r="M9" i="46" s="1"/>
  <c r="L9" i="49"/>
  <c r="K9" i="49"/>
  <c r="J9" i="49"/>
  <c r="I9" i="49"/>
  <c r="H9" i="49"/>
  <c r="N9" i="49" s="1"/>
  <c r="G9" i="49"/>
  <c r="M9" i="49" s="1"/>
  <c r="M14" i="49" l="1"/>
  <c r="M15" i="49" s="1"/>
  <c r="N14" i="49"/>
  <c r="N15" i="49" s="1"/>
  <c r="L29" i="43" l="1"/>
  <c r="K29" i="43"/>
  <c r="J29" i="43"/>
  <c r="I29" i="43"/>
  <c r="H29" i="43"/>
  <c r="N29" i="43" s="1"/>
  <c r="G29" i="43"/>
  <c r="M29" i="43" s="1"/>
  <c r="F23" i="43"/>
  <c r="E23" i="43"/>
  <c r="L23" i="46" l="1"/>
  <c r="K23" i="46"/>
  <c r="J23" i="46"/>
  <c r="I23" i="46"/>
  <c r="H23" i="46"/>
  <c r="N23" i="46" s="1"/>
  <c r="G23" i="46"/>
  <c r="M23" i="46" s="1"/>
  <c r="L22" i="46"/>
  <c r="K22" i="46"/>
  <c r="J22" i="46"/>
  <c r="I22" i="46"/>
  <c r="H22" i="46"/>
  <c r="N22" i="46" s="1"/>
  <c r="G22" i="46"/>
  <c r="M22" i="46" s="1"/>
  <c r="L26" i="49" l="1"/>
  <c r="K26" i="49"/>
  <c r="J26" i="49"/>
  <c r="I26" i="49"/>
  <c r="H26" i="49"/>
  <c r="N26" i="49" s="1"/>
  <c r="G26" i="49"/>
  <c r="M26" i="49" s="1"/>
  <c r="L21" i="49"/>
  <c r="K21" i="49"/>
  <c r="J21" i="49"/>
  <c r="I21" i="49"/>
  <c r="H21" i="49"/>
  <c r="N21" i="49" s="1"/>
  <c r="G21" i="49"/>
  <c r="M21" i="49" s="1"/>
  <c r="L23" i="49"/>
  <c r="K23" i="49"/>
  <c r="J23" i="49"/>
  <c r="I23" i="49"/>
  <c r="H23" i="49"/>
  <c r="N23" i="49" s="1"/>
  <c r="G23" i="49"/>
  <c r="M23" i="49" s="1"/>
  <c r="L22" i="49"/>
  <c r="K22" i="49"/>
  <c r="J22" i="49"/>
  <c r="I22" i="49"/>
  <c r="H22" i="49"/>
  <c r="N22" i="49" s="1"/>
  <c r="G22" i="49"/>
  <c r="M22" i="49" s="1"/>
  <c r="L11" i="49"/>
  <c r="K11" i="49"/>
  <c r="J11" i="49"/>
  <c r="I11" i="49"/>
  <c r="H11" i="49"/>
  <c r="N11" i="49" s="1"/>
  <c r="G11" i="49"/>
  <c r="M11" i="49" s="1"/>
  <c r="L22" i="48" l="1"/>
  <c r="K22" i="48"/>
  <c r="J22" i="48"/>
  <c r="I22" i="48"/>
  <c r="H22" i="48"/>
  <c r="N22" i="48" s="1"/>
  <c r="G22" i="48"/>
  <c r="M22" i="48" s="1"/>
  <c r="L21" i="48"/>
  <c r="K21" i="48"/>
  <c r="J21" i="48"/>
  <c r="I21" i="48"/>
  <c r="H21" i="48"/>
  <c r="N21" i="48" s="1"/>
  <c r="G21" i="48"/>
  <c r="M21" i="48" s="1"/>
  <c r="L20" i="48"/>
  <c r="K20" i="48"/>
  <c r="J20" i="48"/>
  <c r="I20" i="48"/>
  <c r="H20" i="48"/>
  <c r="N20" i="48" s="1"/>
  <c r="G20" i="48"/>
  <c r="M20" i="48" s="1"/>
  <c r="L23" i="43" l="1"/>
  <c r="K23" i="43"/>
  <c r="J23" i="43"/>
  <c r="I23" i="43"/>
  <c r="M23" i="43" l="1"/>
  <c r="G23" i="43"/>
  <c r="N23" i="43"/>
  <c r="H23" i="43"/>
  <c r="L19" i="43"/>
  <c r="K19" i="43"/>
  <c r="J19" i="43"/>
  <c r="I19" i="43"/>
  <c r="H19" i="43"/>
  <c r="N19" i="43" s="1"/>
  <c r="G19" i="43"/>
  <c r="M19" i="43" s="1"/>
  <c r="L30" i="43"/>
  <c r="K30" i="43"/>
  <c r="J30" i="43"/>
  <c r="I30" i="43"/>
  <c r="H30" i="43"/>
  <c r="N30" i="43" s="1"/>
  <c r="G30" i="43"/>
  <c r="M30" i="43" s="1"/>
  <c r="L31" i="43"/>
  <c r="K31" i="43"/>
  <c r="J31" i="43"/>
  <c r="I31" i="43"/>
  <c r="H31" i="43"/>
  <c r="N31" i="43" s="1"/>
  <c r="G31" i="43"/>
  <c r="M31" i="43" s="1"/>
  <c r="L27" i="43" l="1"/>
  <c r="K27" i="43"/>
  <c r="J27" i="43"/>
  <c r="I27" i="43"/>
  <c r="H27" i="43"/>
  <c r="N27" i="43" s="1"/>
  <c r="G27" i="43"/>
  <c r="M27" i="43" s="1"/>
  <c r="L18" i="43"/>
  <c r="K18" i="43"/>
  <c r="J18" i="43"/>
  <c r="I18" i="43"/>
  <c r="H18" i="43"/>
  <c r="N18" i="43" s="1"/>
  <c r="G18" i="43"/>
  <c r="M18" i="43" s="1"/>
  <c r="L11" i="46" l="1"/>
  <c r="K11" i="46"/>
  <c r="J11" i="46"/>
  <c r="I11" i="46"/>
  <c r="H11" i="46"/>
  <c r="H12" i="46" s="1"/>
  <c r="G11" i="46"/>
  <c r="M11" i="46" s="1"/>
  <c r="L12" i="46"/>
  <c r="F28" i="46"/>
  <c r="E28" i="46"/>
  <c r="L28" i="46"/>
  <c r="K28" i="46"/>
  <c r="J28" i="46"/>
  <c r="I28" i="46"/>
  <c r="H28" i="46"/>
  <c r="G28" i="46"/>
  <c r="F24" i="46"/>
  <c r="E24" i="46"/>
  <c r="F15" i="46"/>
  <c r="E15" i="46"/>
  <c r="L15" i="46"/>
  <c r="K15" i="46"/>
  <c r="J15" i="46"/>
  <c r="I15" i="46"/>
  <c r="H15" i="46"/>
  <c r="N15" i="46" s="1"/>
  <c r="G15" i="46"/>
  <c r="M15" i="46" s="1"/>
  <c r="F12" i="46"/>
  <c r="E12" i="46"/>
  <c r="J12" i="46" l="1"/>
  <c r="J24" i="46"/>
  <c r="N12" i="46"/>
  <c r="K12" i="46"/>
  <c r="N11" i="46"/>
  <c r="L24" i="46"/>
  <c r="L29" i="46" s="1"/>
  <c r="I12" i="46"/>
  <c r="H24" i="46"/>
  <c r="H29" i="46" s="1"/>
  <c r="I24" i="46"/>
  <c r="G12" i="46"/>
  <c r="G24" i="46"/>
  <c r="K24" i="46"/>
  <c r="K29" i="46" s="1"/>
  <c r="M24" i="46"/>
  <c r="M28" i="46"/>
  <c r="N24" i="46"/>
  <c r="N28" i="46"/>
  <c r="G29" i="46" l="1"/>
  <c r="J29" i="46"/>
  <c r="I29" i="46"/>
  <c r="M12" i="46"/>
  <c r="M29" i="46" s="1"/>
  <c r="N29" i="46"/>
  <c r="L28" i="49" l="1"/>
  <c r="K28" i="49"/>
  <c r="L12" i="49"/>
  <c r="F28" i="49"/>
  <c r="E28" i="49"/>
  <c r="J28" i="49"/>
  <c r="F24" i="49"/>
  <c r="E24" i="49"/>
  <c r="L24" i="49"/>
  <c r="F12" i="49"/>
  <c r="E12" i="49"/>
  <c r="I28" i="49" l="1"/>
  <c r="M28" i="49"/>
  <c r="N28" i="49"/>
  <c r="H28" i="49"/>
  <c r="J12" i="49"/>
  <c r="I24" i="49"/>
  <c r="H12" i="49"/>
  <c r="N12" i="49" s="1"/>
  <c r="H24" i="49"/>
  <c r="G28" i="49"/>
  <c r="J24" i="49"/>
  <c r="G24" i="49"/>
  <c r="K24" i="49"/>
  <c r="K12" i="49"/>
  <c r="G12" i="49"/>
  <c r="I12" i="49"/>
  <c r="L29" i="49"/>
  <c r="L10" i="48"/>
  <c r="K10" i="48"/>
  <c r="J10" i="48"/>
  <c r="I10" i="48"/>
  <c r="H10" i="48"/>
  <c r="G10" i="48"/>
  <c r="M10" i="48" s="1"/>
  <c r="F27" i="48"/>
  <c r="E27" i="48"/>
  <c r="F23" i="48"/>
  <c r="E23" i="48"/>
  <c r="F15" i="48"/>
  <c r="E15" i="48"/>
  <c r="L15" i="48"/>
  <c r="K15" i="48"/>
  <c r="J15" i="48"/>
  <c r="I15" i="48"/>
  <c r="H15" i="48"/>
  <c r="N15" i="48" s="1"/>
  <c r="F12" i="48"/>
  <c r="E12" i="48"/>
  <c r="J29" i="49" l="1"/>
  <c r="N24" i="49"/>
  <c r="M24" i="49"/>
  <c r="M12" i="49"/>
  <c r="N10" i="48"/>
  <c r="N27" i="48"/>
  <c r="M27" i="48"/>
  <c r="G29" i="49"/>
  <c r="H29" i="49"/>
  <c r="K29" i="49"/>
  <c r="I29" i="49"/>
  <c r="N29" i="49"/>
  <c r="J23" i="48"/>
  <c r="J12" i="48"/>
  <c r="L12" i="48"/>
  <c r="K27" i="48"/>
  <c r="G23" i="48"/>
  <c r="K23" i="48"/>
  <c r="I23" i="48"/>
  <c r="J27" i="48"/>
  <c r="L27" i="48"/>
  <c r="H12" i="48"/>
  <c r="G12" i="48"/>
  <c r="K12" i="48"/>
  <c r="L23" i="48"/>
  <c r="H23" i="48"/>
  <c r="H27" i="48"/>
  <c r="G27" i="48"/>
  <c r="I12" i="48"/>
  <c r="G15" i="48"/>
  <c r="M15" i="48" s="1"/>
  <c r="I27" i="48"/>
  <c r="N23" i="48"/>
  <c r="M23" i="48" l="1"/>
  <c r="M29" i="49"/>
  <c r="K28" i="48"/>
  <c r="L28" i="48"/>
  <c r="J28" i="48"/>
  <c r="G28" i="48"/>
  <c r="N12" i="48"/>
  <c r="N28" i="48" s="1"/>
  <c r="I28" i="48"/>
  <c r="M12" i="48"/>
  <c r="M28" i="48" s="1"/>
  <c r="H28" i="48"/>
  <c r="F32" i="43" l="1"/>
  <c r="E32" i="43"/>
  <c r="G36" i="43" l="1"/>
  <c r="F36" i="43" l="1"/>
  <c r="E36" i="43"/>
  <c r="L36" i="43"/>
  <c r="K36" i="43"/>
  <c r="J36" i="43"/>
  <c r="I36" i="43"/>
  <c r="N36" i="43"/>
  <c r="M36" i="43"/>
  <c r="E20" i="43"/>
  <c r="L16" i="43"/>
  <c r="K16" i="43"/>
  <c r="J16" i="43"/>
  <c r="I16" i="43"/>
  <c r="H16" i="43"/>
  <c r="G16" i="43"/>
  <c r="G20" i="43" s="1"/>
  <c r="H36" i="43" l="1"/>
  <c r="F20" i="43" l="1"/>
  <c r="L20" i="43"/>
  <c r="K20" i="43"/>
  <c r="J20" i="43"/>
  <c r="I20" i="43"/>
  <c r="H20" i="43"/>
  <c r="J32" i="43" l="1"/>
  <c r="L32" i="43"/>
  <c r="I32" i="43"/>
  <c r="I37" i="43" s="1"/>
  <c r="K32" i="43"/>
  <c r="K37" i="43" s="1"/>
  <c r="J37" i="43"/>
  <c r="L37" i="43"/>
  <c r="N32" i="43"/>
  <c r="H32" i="43"/>
  <c r="H37" i="43" s="1"/>
  <c r="M32" i="43"/>
  <c r="G32" i="43"/>
  <c r="G37" i="43" s="1"/>
  <c r="M20" i="43"/>
  <c r="N20" i="43"/>
  <c r="M16" i="43"/>
  <c r="N16" i="43"/>
  <c r="N37" i="43" l="1"/>
  <c r="M37" i="43"/>
</calcChain>
</file>

<file path=xl/sharedStrings.xml><?xml version="1.0" encoding="utf-8"?>
<sst xmlns="http://schemas.openxmlformats.org/spreadsheetml/2006/main" count="774" uniqueCount="282">
  <si>
    <t>№ рец.</t>
  </si>
  <si>
    <t>Наименование блюда</t>
  </si>
  <si>
    <t>Жиры,гр.</t>
  </si>
  <si>
    <t>Белки,гр.</t>
  </si>
  <si>
    <t>Углеводы,гр.</t>
  </si>
  <si>
    <t>Энергетическая ценность (ккал)</t>
  </si>
  <si>
    <t>Выход,гр.</t>
  </si>
  <si>
    <t>Пищевые вещества.</t>
  </si>
  <si>
    <t>ЗАВТРАК</t>
  </si>
  <si>
    <t>ОБЕД</t>
  </si>
  <si>
    <t>Макаронные изделия отварные</t>
  </si>
  <si>
    <t>Чай с лимоном</t>
  </si>
  <si>
    <t>ИТОГО ЗА ДЕНЬ:</t>
  </si>
  <si>
    <t>ИТОГО  ЗАВТРАК:</t>
  </si>
  <si>
    <t>ИТОГО  ОБЕД:</t>
  </si>
  <si>
    <t>7-11 лет</t>
  </si>
  <si>
    <t xml:space="preserve"> Чай с сахаром</t>
  </si>
  <si>
    <t>Каша рисовая молочная жидкая</t>
  </si>
  <si>
    <t>Неделя: первая, третья</t>
  </si>
  <si>
    <t>92/2008г</t>
  </si>
  <si>
    <t>Картофельное пюре</t>
  </si>
  <si>
    <t>39/2008г</t>
  </si>
  <si>
    <t>Хлеб ржаной</t>
  </si>
  <si>
    <t xml:space="preserve"> </t>
  </si>
  <si>
    <t>2004г</t>
  </si>
  <si>
    <t xml:space="preserve">Сборник рецептур блюд и кулинарных изделий для предприятий общественного питания      </t>
  </si>
  <si>
    <t>2008г</t>
  </si>
  <si>
    <t xml:space="preserve">Сборник  технических нормативов, рецептур блюд и кулинарных изделий для           </t>
  </si>
  <si>
    <t xml:space="preserve">предприятий общественного питания при образовательных учреждениях УР.  Ижевск 2008 г.   </t>
  </si>
  <si>
    <t>2013г</t>
  </si>
  <si>
    <t xml:space="preserve">организации питания детей в дошкольных организациях УР.  Ижевск 2013 г.   </t>
  </si>
  <si>
    <t>97/2008г</t>
  </si>
  <si>
    <t>2021г</t>
  </si>
  <si>
    <t>Единый сборник технологических нормативов, рецептур блюд и кулинарных изделий для детских садов,</t>
  </si>
  <si>
    <t>общеобразовательных школах. Уральский региональный центр питания. Пермь 2021 г. (Под общей редакцией А.Я. Превалова)</t>
  </si>
  <si>
    <t xml:space="preserve">при общеобразовательных школах . Москва 2004г (Под общей редакцией В.Т Лапшиной)   </t>
  </si>
  <si>
    <t>ПП</t>
  </si>
  <si>
    <t>ПОНЕДЕЛЬНИК</t>
  </si>
  <si>
    <t>ВТОРНИК</t>
  </si>
  <si>
    <t>День недели</t>
  </si>
  <si>
    <t>СРЕДА</t>
  </si>
  <si>
    <t>Основное двухнедельное цикличное меню</t>
  </si>
  <si>
    <t>12-18 лет</t>
  </si>
  <si>
    <t>496/2021г</t>
  </si>
  <si>
    <t>459/2021г</t>
  </si>
  <si>
    <t>457/2021г</t>
  </si>
  <si>
    <t>ЧЕТВЕРГ</t>
  </si>
  <si>
    <t>ПЯТНИЦА</t>
  </si>
  <si>
    <t>495/2021г</t>
  </si>
  <si>
    <t>Компот из смеси сухофруктов</t>
  </si>
  <si>
    <t>Неделя: вторая, четвертая</t>
  </si>
  <si>
    <t>63/2008г</t>
  </si>
  <si>
    <t>Гуляш</t>
  </si>
  <si>
    <t>Каша гречневая вязкая</t>
  </si>
  <si>
    <t>510/2004г</t>
  </si>
  <si>
    <t>213/2021г</t>
  </si>
  <si>
    <t>236/2021г</t>
  </si>
  <si>
    <t>47/2008г</t>
  </si>
  <si>
    <t>229/2021г</t>
  </si>
  <si>
    <t>Суп картофельный с бобовыми</t>
  </si>
  <si>
    <t xml:space="preserve">Каша "Дружба" </t>
  </si>
  <si>
    <t>235/2021г</t>
  </si>
  <si>
    <t>Каша пшённая молочная жидкая</t>
  </si>
  <si>
    <t>СПИСОК ЛИТЕРАТУРЫ</t>
  </si>
  <si>
    <t>каша гречневая</t>
  </si>
  <si>
    <t>чай с лимоном</t>
  </si>
  <si>
    <t>чай с сахаром</t>
  </si>
  <si>
    <t>каша рисовая</t>
  </si>
  <si>
    <t>картофельное пюре</t>
  </si>
  <si>
    <t>плов</t>
  </si>
  <si>
    <t>напиток из шиповника</t>
  </si>
  <si>
    <t xml:space="preserve">Борщ с капустой и картофелем </t>
  </si>
  <si>
    <t>60/2008г</t>
  </si>
  <si>
    <t>Уха со взбитым яйцом</t>
  </si>
  <si>
    <t>сыр</t>
  </si>
  <si>
    <t>йогурт</t>
  </si>
  <si>
    <t>какао с молоком</t>
  </si>
  <si>
    <t>каша пшенная</t>
  </si>
  <si>
    <t>рассольник ленинградский</t>
  </si>
  <si>
    <t>2-ЗАВТРАК</t>
  </si>
  <si>
    <t>ИТОГО  2-ЗАВТРАК:</t>
  </si>
  <si>
    <t>ИТОГО ПОЛДНИК:</t>
  </si>
  <si>
    <t>1-3 г.</t>
  </si>
  <si>
    <t>3-7 г.</t>
  </si>
  <si>
    <t>ПОЛДНИК</t>
  </si>
  <si>
    <t>Каша овсянная "Геркулес" жидкая</t>
  </si>
  <si>
    <t>Повидло яблочное</t>
  </si>
  <si>
    <t>464/2021г</t>
  </si>
  <si>
    <t>Кофейный напиток</t>
  </si>
  <si>
    <t>462/2021г</t>
  </si>
  <si>
    <t>Какао с молоком</t>
  </si>
  <si>
    <t>Напиток из плодов шиповника</t>
  </si>
  <si>
    <t>100/2021г</t>
  </si>
  <si>
    <t>Рассольник ленинградский</t>
  </si>
  <si>
    <t>452/2004г</t>
  </si>
  <si>
    <t>Биточки особые</t>
  </si>
  <si>
    <t>232/2021г</t>
  </si>
  <si>
    <t>41/2008г</t>
  </si>
  <si>
    <t xml:space="preserve">Щи из свежей капусты с картофелем </t>
  </si>
  <si>
    <t>для организации питания воспитанников от 1 до 3 лет, от 3 до 7 лет</t>
  </si>
  <si>
    <t>1 нед.</t>
  </si>
  <si>
    <t>БЛЮДО</t>
  </si>
  <si>
    <t>понедельник</t>
  </si>
  <si>
    <t>вторник</t>
  </si>
  <si>
    <t>среда</t>
  </si>
  <si>
    <t>четверг</t>
  </si>
  <si>
    <t>пятница</t>
  </si>
  <si>
    <t>завтрак</t>
  </si>
  <si>
    <t>каша</t>
  </si>
  <si>
    <t>каша "Дружба"</t>
  </si>
  <si>
    <t>закуска</t>
  </si>
  <si>
    <t>напиток</t>
  </si>
  <si>
    <t>кофейный напиток</t>
  </si>
  <si>
    <t>2 зав</t>
  </si>
  <si>
    <t>обед</t>
  </si>
  <si>
    <t>суп</t>
  </si>
  <si>
    <t>гарнир</t>
  </si>
  <si>
    <t>рыба</t>
  </si>
  <si>
    <t>мясо</t>
  </si>
  <si>
    <t>птица</t>
  </si>
  <si>
    <t>полдник</t>
  </si>
  <si>
    <t>блюдо</t>
  </si>
  <si>
    <t>2 нед.</t>
  </si>
  <si>
    <t>сдоба обыкновенная</t>
  </si>
  <si>
    <t>106/2008г</t>
  </si>
  <si>
    <t xml:space="preserve">Запеканка из творога </t>
  </si>
  <si>
    <t>яйцо</t>
  </si>
  <si>
    <t>масло слив.</t>
  </si>
  <si>
    <t>сок</t>
  </si>
  <si>
    <t>макаронные изделия отварные</t>
  </si>
  <si>
    <t>капуста тушеная с мясом</t>
  </si>
  <si>
    <t>жаркое по-домашнему</t>
  </si>
  <si>
    <t>компот из с/ф</t>
  </si>
  <si>
    <t>масло  слив.</t>
  </si>
  <si>
    <t>борщ с картофелем</t>
  </si>
  <si>
    <t>267/2021г</t>
  </si>
  <si>
    <t>Яйцо вареное</t>
  </si>
  <si>
    <t>573/2021г</t>
  </si>
  <si>
    <t>Хлеб пшеничный формовой</t>
  </si>
  <si>
    <t>574/2021г</t>
  </si>
  <si>
    <t>75/2021г</t>
  </si>
  <si>
    <t>Сыр полутвердый (порциями)</t>
  </si>
  <si>
    <t>470/2021г</t>
  </si>
  <si>
    <t>501/2021г</t>
  </si>
  <si>
    <t>Соки овощные, фруктовые и ягодные</t>
  </si>
  <si>
    <t>96/2004г</t>
  </si>
  <si>
    <t>Масло  (порциями)</t>
  </si>
  <si>
    <t>176/2013г</t>
  </si>
  <si>
    <t>Жаркое по-домашнему</t>
  </si>
  <si>
    <t>63/2013г</t>
  </si>
  <si>
    <t>Пуштыешыд</t>
  </si>
  <si>
    <t>545/2021г</t>
  </si>
  <si>
    <t>Сдоба обыкновенная</t>
  </si>
  <si>
    <t>234/2021г</t>
  </si>
  <si>
    <t>94/2021г</t>
  </si>
  <si>
    <t>Борщ с картофелем</t>
  </si>
  <si>
    <t>443/2004г</t>
  </si>
  <si>
    <t>451/2004г</t>
  </si>
  <si>
    <t>Шницель</t>
  </si>
  <si>
    <t>повидло</t>
  </si>
  <si>
    <t>фрукт</t>
  </si>
  <si>
    <t>суп гороховый</t>
  </si>
  <si>
    <t>каша перловая</t>
  </si>
  <si>
    <t>тефтели 2-вариант</t>
  </si>
  <si>
    <t>гуляш</t>
  </si>
  <si>
    <t>фруктовый суп</t>
  </si>
  <si>
    <t>кисель</t>
  </si>
  <si>
    <t>шницель</t>
  </si>
  <si>
    <t>576/2021г</t>
  </si>
  <si>
    <t>Батон нарезной</t>
  </si>
  <si>
    <t>163/2013</t>
  </si>
  <si>
    <t>Котлеты, биточки, шницели рыбные</t>
  </si>
  <si>
    <t>82/2021г</t>
  </si>
  <si>
    <t>Фрукты свежие</t>
  </si>
  <si>
    <t>484/2021г</t>
  </si>
  <si>
    <t>Кисель из концетрата плодового  и ягодного</t>
  </si>
  <si>
    <t>227/2021г</t>
  </si>
  <si>
    <t>Каша ячневая молочная вязкая</t>
  </si>
  <si>
    <t>285/2013г</t>
  </si>
  <si>
    <t>"Гребешок" из дрожжевого теста</t>
  </si>
  <si>
    <t>286/2021г</t>
  </si>
  <si>
    <t>Сырники из творога запеченые</t>
  </si>
  <si>
    <t>каша овсяная "геркулес"</t>
  </si>
  <si>
    <t>чай с сах.</t>
  </si>
  <si>
    <t>салат из отварной свеклы</t>
  </si>
  <si>
    <t>винегрет овощной</t>
  </si>
  <si>
    <t>щи</t>
  </si>
  <si>
    <t>борщ</t>
  </si>
  <si>
    <t>суп с клецками</t>
  </si>
  <si>
    <t>котлета рыбная</t>
  </si>
  <si>
    <t>гребешок с повидлом</t>
  </si>
  <si>
    <t>запеканка творожная</t>
  </si>
  <si>
    <t>шанежка с картофелем</t>
  </si>
  <si>
    <t>каша пшеничная</t>
  </si>
  <si>
    <t>каша ячневая</t>
  </si>
  <si>
    <t>суп молочный</t>
  </si>
  <si>
    <t>суп с яйцом</t>
  </si>
  <si>
    <t>суп с вермишелью</t>
  </si>
  <si>
    <t>суп крестьянский с крупой</t>
  </si>
  <si>
    <t>биточки</t>
  </si>
  <si>
    <t xml:space="preserve">сырник </t>
  </si>
  <si>
    <t>коржик молочный</t>
  </si>
  <si>
    <t>чай с молоком</t>
  </si>
  <si>
    <t>УТВЕРЖДАЮ</t>
  </si>
  <si>
    <t>Директор МКОУ "Тыловыл-Пельгинская ООШ"</t>
  </si>
  <si>
    <t>Тарасова В.В._____________</t>
  </si>
  <si>
    <t>в МКОУ "Тыловыл-Пельгинская ООШ"</t>
  </si>
  <si>
    <t>уха из консервы</t>
  </si>
  <si>
    <t>салат из свеклы с изюмом</t>
  </si>
  <si>
    <t>29/2021г</t>
  </si>
  <si>
    <t>Кисломолочный напиток</t>
  </si>
  <si>
    <t>Салат из свеклы с сухофруктами (изюм)</t>
  </si>
  <si>
    <t>13/2008г</t>
  </si>
  <si>
    <t>Салат из свежей капусты</t>
  </si>
  <si>
    <t xml:space="preserve">Плов </t>
  </si>
  <si>
    <t>540/2021г</t>
  </si>
  <si>
    <t>Шанежка с картофелем</t>
  </si>
  <si>
    <t>Чай с сахаром</t>
  </si>
  <si>
    <t>230/2021г</t>
  </si>
  <si>
    <t>Каша манная молочная жидкая</t>
  </si>
  <si>
    <t xml:space="preserve">сок </t>
  </si>
  <si>
    <t>26/2021г</t>
  </si>
  <si>
    <t>Салат из свеклы отварной</t>
  </si>
  <si>
    <t>115/2021г</t>
  </si>
  <si>
    <t>Суп картофельный с клецками</t>
  </si>
  <si>
    <t>462/2004г</t>
  </si>
  <si>
    <t>Тефтели 2-й вариант</t>
  </si>
  <si>
    <t>186/2021г</t>
  </si>
  <si>
    <t>Котлеты картофельные</t>
  </si>
  <si>
    <t>котлеты картофельные</t>
  </si>
  <si>
    <t>Огурцы консервированные (порциями)</t>
  </si>
  <si>
    <t>салат карт. с солеными огурцами</t>
  </si>
  <si>
    <t>огурцы консервированные порционно</t>
  </si>
  <si>
    <t>282/2021г</t>
  </si>
  <si>
    <t>Запеканка рисовая с творогом</t>
  </si>
  <si>
    <t>запеканка рисовая с творогом</t>
  </si>
  <si>
    <t>Каша пшеничная молочная жидкая</t>
  </si>
  <si>
    <t>30/2008г</t>
  </si>
  <si>
    <t>Винегрет овощной</t>
  </si>
  <si>
    <t>Каша перловая вязкая</t>
  </si>
  <si>
    <t>374/2004г</t>
  </si>
  <si>
    <t>Рыба тушеная с овощами</t>
  </si>
  <si>
    <t>43/2021г</t>
  </si>
  <si>
    <t xml:space="preserve">Салат картофельный с солеными огурцами или капустой квашеной </t>
  </si>
  <si>
    <t>46/2008г</t>
  </si>
  <si>
    <t xml:space="preserve">Суп картофельный с мак. изделиями </t>
  </si>
  <si>
    <t>196/2013г</t>
  </si>
  <si>
    <t>Капуста тушеная с мясом</t>
  </si>
  <si>
    <t>486/2021г</t>
  </si>
  <si>
    <t>Компот из свежих плодов и ягод</t>
  </si>
  <si>
    <t>компот из яблок</t>
  </si>
  <si>
    <t>196/2004г</t>
  </si>
  <si>
    <t>Суп из смеси сухофруктов</t>
  </si>
  <si>
    <t>48/2008г</t>
  </si>
  <si>
    <t>Суп крестьянский с крупой</t>
  </si>
  <si>
    <t>182/2008г</t>
  </si>
  <si>
    <t>Коржик молочный</t>
  </si>
  <si>
    <t>460/2021г</t>
  </si>
  <si>
    <t>Чай с молоком</t>
  </si>
  <si>
    <t>каша манная</t>
  </si>
  <si>
    <t>картофель тушеный</t>
  </si>
  <si>
    <t>рыба тушеная с овощами</t>
  </si>
  <si>
    <t>738/2004г</t>
  </si>
  <si>
    <t>Пирожки с рисом и яйцом</t>
  </si>
  <si>
    <t>пирожок с рисом и яйцом</t>
  </si>
  <si>
    <t>160/2004г</t>
  </si>
  <si>
    <t>Суп молочный с макаронными изделиями</t>
  </si>
  <si>
    <t>216/2004г</t>
  </si>
  <si>
    <t xml:space="preserve">Картофель тушеный </t>
  </si>
  <si>
    <t>салат из св. огурцов и помидор</t>
  </si>
  <si>
    <t>свежие огурцы порц.</t>
  </si>
  <si>
    <t>18/2021г</t>
  </si>
  <si>
    <t>Салат из свежих помидоров и огурцов</t>
  </si>
  <si>
    <t>ТК-2</t>
  </si>
  <si>
    <t>Огурцы свежие порционно</t>
  </si>
  <si>
    <t>салат из св.огурцов с луком</t>
  </si>
  <si>
    <t>салат из свеклы с яблоками</t>
  </si>
  <si>
    <t>28/2021г</t>
  </si>
  <si>
    <t>Салат из свеклы с яблоками</t>
  </si>
  <si>
    <t>СОГЛАСОВАНО</t>
  </si>
  <si>
    <t>Генеральный дирекор ООО "Школьное питание"</t>
  </si>
  <si>
    <t>Колеватов Е.С._______________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</si>
</sst>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8.5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47">
    <xf numFmtId="0" fontId="0" fillId="0" borderId="0" xfId="0"/>
    <xf numFmtId="0" fontId="0" fillId="0" borderId="0" xfId="0" applyBorder="1"/>
    <xf numFmtId="0" fontId="3" fillId="0" borderId="0" xfId="0" applyFont="1" applyBorder="1"/>
    <xf numFmtId="164" fontId="0" fillId="0" borderId="0" xfId="0" applyNumberForma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2" fillId="2" borderId="10" xfId="0" applyFont="1" applyFill="1" applyBorder="1" applyAlignment="1">
      <alignment horizontal="left"/>
    </xf>
    <xf numFmtId="2" fontId="2" fillId="2" borderId="10" xfId="0" applyNumberFormat="1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2" fontId="6" fillId="3" borderId="10" xfId="0" applyNumberFormat="1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1" fontId="1" fillId="3" borderId="2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 vertical="center"/>
    </xf>
    <xf numFmtId="2" fontId="2" fillId="3" borderId="14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2" borderId="36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2" fontId="1" fillId="2" borderId="20" xfId="0" applyNumberFormat="1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3" borderId="2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left"/>
    </xf>
    <xf numFmtId="0" fontId="2" fillId="2" borderId="37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2" fontId="2" fillId="2" borderId="37" xfId="0" applyNumberFormat="1" applyFont="1" applyFill="1" applyBorder="1" applyAlignment="1">
      <alignment horizontal="center"/>
    </xf>
    <xf numFmtId="2" fontId="2" fillId="3" borderId="37" xfId="0" applyNumberFormat="1" applyFont="1" applyFill="1" applyBorder="1" applyAlignment="1">
      <alignment horizontal="center"/>
    </xf>
    <xf numFmtId="2" fontId="2" fillId="3" borderId="38" xfId="0" applyNumberFormat="1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1" fontId="1" fillId="3" borderId="2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Border="1"/>
    <xf numFmtId="0" fontId="11" fillId="0" borderId="0" xfId="0" applyFont="1" applyBorder="1"/>
    <xf numFmtId="0" fontId="0" fillId="0" borderId="0" xfId="0" applyFont="1"/>
    <xf numFmtId="0" fontId="12" fillId="4" borderId="50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2" fillId="2" borderId="53" xfId="0" applyFont="1" applyFill="1" applyBorder="1" applyAlignment="1">
      <alignment horizontal="center" vertical="center"/>
    </xf>
    <xf numFmtId="0" fontId="12" fillId="5" borderId="51" xfId="0" applyFont="1" applyFill="1" applyBorder="1" applyAlignment="1">
      <alignment horizontal="left" vertical="center"/>
    </xf>
    <xf numFmtId="0" fontId="12" fillId="2" borderId="57" xfId="0" applyFont="1" applyFill="1" applyBorder="1" applyAlignment="1">
      <alignment horizontal="center" vertical="center"/>
    </xf>
    <xf numFmtId="0" fontId="12" fillId="6" borderId="2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9" fillId="0" borderId="0" xfId="0" applyFont="1"/>
    <xf numFmtId="0" fontId="2" fillId="6" borderId="10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13" fillId="2" borderId="50" xfId="0" applyFont="1" applyFill="1" applyBorder="1" applyAlignment="1">
      <alignment horizontal="center" vertical="center"/>
    </xf>
    <xf numFmtId="0" fontId="2" fillId="5" borderId="51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8" fillId="0" borderId="0" xfId="0" applyFont="1"/>
    <xf numFmtId="0" fontId="1" fillId="0" borderId="1" xfId="0" applyFont="1" applyBorder="1" applyAlignment="1">
      <alignment horizontal="left" vertical="center" wrapText="1"/>
    </xf>
    <xf numFmtId="0" fontId="2" fillId="5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0" borderId="20" xfId="0" applyFont="1" applyBorder="1" applyAlignment="1">
      <alignment horizontal="center" vertical="center"/>
    </xf>
    <xf numFmtId="0" fontId="1" fillId="2" borderId="3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42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13" xfId="0" applyFont="1" applyFill="1" applyBorder="1" applyAlignment="1">
      <alignment horizontal="center"/>
    </xf>
    <xf numFmtId="0" fontId="1" fillId="2" borderId="54" xfId="0" applyFont="1" applyFill="1" applyBorder="1" applyAlignment="1">
      <alignment horizontal="center" wrapText="1"/>
    </xf>
    <xf numFmtId="0" fontId="1" fillId="2" borderId="55" xfId="0" applyFont="1" applyFill="1" applyBorder="1" applyAlignment="1">
      <alignment horizontal="center" wrapText="1"/>
    </xf>
    <xf numFmtId="49" fontId="8" fillId="2" borderId="54" xfId="1" applyNumberFormat="1" applyFont="1" applyFill="1" applyBorder="1" applyAlignment="1" applyProtection="1">
      <alignment horizontal="center"/>
    </xf>
    <xf numFmtId="49" fontId="8" fillId="2" borderId="55" xfId="1" applyNumberFormat="1" applyFont="1" applyFill="1" applyBorder="1" applyAlignment="1" applyProtection="1">
      <alignment horizontal="center"/>
    </xf>
    <xf numFmtId="0" fontId="8" fillId="2" borderId="54" xfId="0" applyFont="1" applyFill="1" applyBorder="1" applyAlignment="1">
      <alignment horizontal="center" wrapText="1"/>
    </xf>
    <xf numFmtId="0" fontId="8" fillId="2" borderId="55" xfId="0" applyFont="1" applyFill="1" applyBorder="1" applyAlignment="1">
      <alignment horizontal="center" wrapText="1"/>
    </xf>
    <xf numFmtId="49" fontId="8" fillId="2" borderId="56" xfId="1" applyNumberFormat="1" applyFont="1" applyFill="1" applyBorder="1" applyAlignment="1" applyProtection="1">
      <alignment horizontal="center"/>
    </xf>
    <xf numFmtId="49" fontId="8" fillId="2" borderId="15" xfId="1" applyNumberFormat="1" applyFont="1" applyFill="1" applyBorder="1" applyAlignment="1" applyProtection="1">
      <alignment horizontal="center"/>
    </xf>
    <xf numFmtId="49" fontId="8" fillId="2" borderId="17" xfId="1" applyNumberFormat="1" applyFont="1" applyFill="1" applyBorder="1" applyAlignment="1" applyProtection="1">
      <alignment horizontal="center"/>
    </xf>
    <xf numFmtId="0" fontId="13" fillId="2" borderId="4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wrapText="1"/>
    </xf>
    <xf numFmtId="0" fontId="8" fillId="2" borderId="41" xfId="0" applyFont="1" applyFill="1" applyBorder="1" applyAlignment="1">
      <alignment horizontal="center" wrapText="1"/>
    </xf>
    <xf numFmtId="0" fontId="8" fillId="2" borderId="17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58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49" fontId="8" fillId="2" borderId="2" xfId="1" applyNumberFormat="1" applyFont="1" applyFill="1" applyBorder="1" applyAlignment="1" applyProtection="1">
      <alignment horizontal="center"/>
    </xf>
    <xf numFmtId="49" fontId="8" fillId="2" borderId="18" xfId="1" applyNumberFormat="1" applyFont="1" applyFill="1" applyBorder="1" applyAlignment="1" applyProtection="1">
      <alignment horizontal="center"/>
    </xf>
    <xf numFmtId="0" fontId="1" fillId="2" borderId="10" xfId="0" applyFont="1" applyFill="1" applyBorder="1" applyAlignment="1">
      <alignment horizontal="center" wrapText="1"/>
    </xf>
    <xf numFmtId="49" fontId="8" fillId="2" borderId="24" xfId="1" applyNumberFormat="1" applyFont="1" applyFill="1" applyBorder="1" applyAlignment="1" applyProtection="1">
      <alignment horizontal="center"/>
    </xf>
    <xf numFmtId="49" fontId="8" fillId="2" borderId="58" xfId="1" applyNumberFormat="1" applyFont="1" applyFill="1" applyBorder="1" applyAlignment="1" applyProtection="1">
      <alignment horizontal="center"/>
    </xf>
    <xf numFmtId="49" fontId="8" fillId="2" borderId="59" xfId="1" applyNumberFormat="1" applyFont="1" applyFill="1" applyBorder="1" applyAlignment="1" applyProtection="1">
      <alignment horizontal="center"/>
    </xf>
    <xf numFmtId="0" fontId="13" fillId="2" borderId="49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49" fontId="8" fillId="2" borderId="15" xfId="1" applyNumberFormat="1" applyFont="1" applyFill="1" applyBorder="1" applyAlignment="1" applyProtection="1">
      <alignment horizontal="center" vertical="center" wrapText="1"/>
    </xf>
    <xf numFmtId="49" fontId="8" fillId="2" borderId="17" xfId="1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42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0" fontId="1" fillId="2" borderId="2" xfId="0" applyFont="1" applyFill="1" applyBorder="1" applyAlignment="1"/>
    <xf numFmtId="0" fontId="1" fillId="2" borderId="42" xfId="0" applyFont="1" applyFill="1" applyBorder="1" applyAlignment="1"/>
    <xf numFmtId="49" fontId="8" fillId="2" borderId="15" xfId="1" applyNumberFormat="1" applyFont="1" applyFill="1" applyBorder="1" applyAlignment="1" applyProtection="1">
      <alignment horizontal="center" vertical="center"/>
    </xf>
    <xf numFmtId="49" fontId="8" fillId="2" borderId="41" xfId="1" applyNumberFormat="1" applyFont="1" applyFill="1" applyBorder="1" applyAlignment="1" applyProtection="1">
      <alignment horizontal="center" vertical="center"/>
    </xf>
    <xf numFmtId="49" fontId="8" fillId="2" borderId="0" xfId="1" applyNumberFormat="1" applyFont="1" applyFill="1" applyBorder="1" applyAlignment="1" applyProtection="1">
      <alignment horizontal="center"/>
    </xf>
    <xf numFmtId="49" fontId="12" fillId="4" borderId="51" xfId="1" applyNumberFormat="1" applyFont="1" applyFill="1" applyBorder="1" applyAlignment="1" applyProtection="1">
      <alignment horizontal="center" vertical="center"/>
    </xf>
    <xf numFmtId="49" fontId="12" fillId="4" borderId="62" xfId="1" applyNumberFormat="1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49" fontId="1" fillId="2" borderId="15" xfId="1" applyNumberFormat="1" applyFont="1" applyFill="1" applyBorder="1" applyAlignment="1" applyProtection="1">
      <alignment horizontal="center" vertical="center" wrapText="1"/>
    </xf>
    <xf numFmtId="49" fontId="1" fillId="2" borderId="41" xfId="1" applyNumberFormat="1" applyFont="1" applyFill="1" applyBorder="1" applyAlignment="1" applyProtection="1">
      <alignment horizontal="center" vertical="center" wrapText="1"/>
    </xf>
    <xf numFmtId="49" fontId="8" fillId="2" borderId="42" xfId="1" applyNumberFormat="1" applyFont="1" applyFill="1" applyBorder="1" applyAlignment="1" applyProtection="1">
      <alignment horizontal="center"/>
    </xf>
    <xf numFmtId="49" fontId="8" fillId="2" borderId="15" xfId="1" applyNumberFormat="1" applyFont="1" applyFill="1" applyBorder="1" applyAlignment="1" applyProtection="1">
      <alignment horizontal="center" wrapText="1"/>
    </xf>
    <xf numFmtId="49" fontId="8" fillId="2" borderId="17" xfId="1" applyNumberFormat="1" applyFont="1" applyFill="1" applyBorder="1" applyAlignment="1" applyProtection="1">
      <alignment horizontal="center" wrapText="1"/>
    </xf>
    <xf numFmtId="49" fontId="8" fillId="2" borderId="6" xfId="1" applyNumberFormat="1" applyFont="1" applyFill="1" applyBorder="1" applyAlignment="1" applyProtection="1">
      <alignment horizontal="center"/>
    </xf>
    <xf numFmtId="49" fontId="8" fillId="2" borderId="52" xfId="1" applyNumberFormat="1" applyFont="1" applyFill="1" applyBorder="1" applyAlignment="1" applyProtection="1">
      <alignment horizontal="center"/>
    </xf>
    <xf numFmtId="0" fontId="13" fillId="2" borderId="19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49" fontId="8" fillId="2" borderId="41" xfId="1" applyNumberFormat="1" applyFont="1" applyFill="1" applyBorder="1" applyAlignment="1" applyProtection="1">
      <alignment horizontal="center"/>
    </xf>
    <xf numFmtId="49" fontId="8" fillId="2" borderId="33" xfId="1" applyNumberFormat="1" applyFont="1" applyFill="1" applyBorder="1" applyAlignment="1" applyProtection="1">
      <alignment horizontal="center"/>
    </xf>
    <xf numFmtId="49" fontId="8" fillId="2" borderId="16" xfId="1" applyNumberFormat="1" applyFont="1" applyFill="1" applyBorder="1" applyAlignment="1" applyProtection="1">
      <alignment horizontal="center"/>
    </xf>
    <xf numFmtId="0" fontId="0" fillId="0" borderId="0" xfId="0" applyFont="1"/>
    <xf numFmtId="0" fontId="10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27" xfId="0" applyFont="1" applyFill="1" applyBorder="1" applyAlignment="1">
      <alignment vertical="center" textRotation="90"/>
    </xf>
    <xf numFmtId="0" fontId="2" fillId="2" borderId="28" xfId="0" applyFont="1" applyFill="1" applyBorder="1" applyAlignment="1">
      <alignment vertical="center" textRotation="90"/>
    </xf>
    <xf numFmtId="0" fontId="2" fillId="2" borderId="29" xfId="0" applyFont="1" applyFill="1" applyBorder="1" applyAlignment="1">
      <alignment vertical="center" textRotation="90"/>
    </xf>
    <xf numFmtId="0" fontId="7" fillId="3" borderId="19" xfId="0" applyFont="1" applyFill="1" applyBorder="1" applyAlignment="1">
      <alignment vertical="center" textRotation="90"/>
    </xf>
    <xf numFmtId="0" fontId="7" fillId="3" borderId="20" xfId="0" applyFont="1" applyFill="1" applyBorder="1" applyAlignment="1">
      <alignment vertical="center" textRotation="90"/>
    </xf>
    <xf numFmtId="0" fontId="7" fillId="3" borderId="21" xfId="0" applyFont="1" applyFill="1" applyBorder="1" applyAlignment="1">
      <alignment vertical="center" textRotation="90"/>
    </xf>
    <xf numFmtId="0" fontId="2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2" borderId="57" xfId="0" applyFont="1" applyFill="1" applyBorder="1" applyAlignment="1">
      <alignment vertical="center" textRotation="90"/>
    </xf>
    <xf numFmtId="0" fontId="2" fillId="2" borderId="60" xfId="0" applyFont="1" applyFill="1" applyBorder="1" applyAlignment="1">
      <alignment vertical="center" textRotation="90"/>
    </xf>
    <xf numFmtId="0" fontId="2" fillId="2" borderId="61" xfId="0" applyFont="1" applyFill="1" applyBorder="1" applyAlignment="1">
      <alignment vertical="center" textRotation="90"/>
    </xf>
    <xf numFmtId="0" fontId="7" fillId="3" borderId="48" xfId="0" applyFont="1" applyFill="1" applyBorder="1" applyAlignment="1">
      <alignment vertical="center" textRotation="90"/>
    </xf>
    <xf numFmtId="0" fontId="7" fillId="3" borderId="49" xfId="0" applyFont="1" applyFill="1" applyBorder="1" applyAlignment="1">
      <alignment vertical="center" textRotation="90"/>
    </xf>
    <xf numFmtId="0" fontId="7" fillId="3" borderId="9" xfId="0" applyFont="1" applyFill="1" applyBorder="1" applyAlignment="1">
      <alignment vertical="center" textRotation="90"/>
    </xf>
    <xf numFmtId="0" fontId="2" fillId="3" borderId="43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4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2" fillId="2" borderId="3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35" xfId="0" applyFont="1" applyBorder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99FF99"/>
      <color rgb="FFFFFF66"/>
      <color rgb="FF99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2"/>
  <sheetViews>
    <sheetView tabSelected="1" zoomScalePageLayoutView="40" workbookViewId="0">
      <selection activeCell="L22" sqref="L22:M22"/>
    </sheetView>
  </sheetViews>
  <sheetFormatPr defaultRowHeight="12.75" x14ac:dyDescent="0.2"/>
  <cols>
    <col min="1" max="1" width="5.85546875" style="64" customWidth="1"/>
    <col min="2" max="2" width="7.5703125" style="64" customWidth="1"/>
    <col min="3" max="3" width="11.42578125" style="64" customWidth="1"/>
    <col min="4" max="4" width="11" style="64" customWidth="1"/>
    <col min="5" max="5" width="10.5703125" style="64" customWidth="1"/>
    <col min="6" max="7" width="12.7109375" style="64" customWidth="1"/>
    <col min="8" max="8" width="12.85546875" style="64" customWidth="1"/>
    <col min="9" max="9" width="10.28515625" style="64" customWidth="1"/>
    <col min="10" max="10" width="14.140625" style="64" customWidth="1"/>
    <col min="11" max="12" width="9.140625" style="64"/>
    <col min="13" max="13" width="15.42578125" style="64" customWidth="1"/>
    <col min="14" max="16384" width="9.140625" style="64"/>
  </cols>
  <sheetData>
    <row r="1" spans="2:16" ht="21" customHeight="1" thickBot="1" x14ac:dyDescent="0.25"/>
    <row r="2" spans="2:16" ht="17.25" customHeight="1" thickBot="1" x14ac:dyDescent="0.25">
      <c r="B2" s="69" t="s">
        <v>100</v>
      </c>
      <c r="C2" s="70" t="s">
        <v>101</v>
      </c>
      <c r="D2" s="151" t="s">
        <v>102</v>
      </c>
      <c r="E2" s="151"/>
      <c r="F2" s="151" t="s">
        <v>103</v>
      </c>
      <c r="G2" s="151"/>
      <c r="H2" s="151" t="s">
        <v>104</v>
      </c>
      <c r="I2" s="151"/>
      <c r="J2" s="151" t="s">
        <v>105</v>
      </c>
      <c r="K2" s="151"/>
      <c r="L2" s="151" t="s">
        <v>106</v>
      </c>
      <c r="M2" s="152"/>
    </row>
    <row r="3" spans="2:16" ht="17.25" customHeight="1" x14ac:dyDescent="0.2">
      <c r="B3" s="165" t="s">
        <v>107</v>
      </c>
      <c r="C3" s="71" t="s">
        <v>108</v>
      </c>
      <c r="D3" s="122" t="s">
        <v>64</v>
      </c>
      <c r="E3" s="167"/>
      <c r="F3" s="122" t="s">
        <v>67</v>
      </c>
      <c r="G3" s="167"/>
      <c r="H3" s="122" t="s">
        <v>182</v>
      </c>
      <c r="I3" s="167"/>
      <c r="J3" s="122" t="s">
        <v>109</v>
      </c>
      <c r="K3" s="167"/>
      <c r="L3" s="122" t="s">
        <v>195</v>
      </c>
      <c r="M3" s="123"/>
    </row>
    <row r="4" spans="2:16" ht="17.25" customHeight="1" x14ac:dyDescent="0.2">
      <c r="B4" s="138"/>
      <c r="C4" s="72" t="s">
        <v>110</v>
      </c>
      <c r="D4" s="132" t="s">
        <v>126</v>
      </c>
      <c r="E4" s="160"/>
      <c r="F4" s="132" t="s">
        <v>74</v>
      </c>
      <c r="G4" s="160"/>
      <c r="H4" s="132" t="s">
        <v>159</v>
      </c>
      <c r="I4" s="160"/>
      <c r="J4" s="132" t="s">
        <v>127</v>
      </c>
      <c r="K4" s="160"/>
      <c r="L4" s="132" t="s">
        <v>74</v>
      </c>
      <c r="M4" s="133"/>
    </row>
    <row r="5" spans="2:16" ht="17.25" customHeight="1" thickBot="1" x14ac:dyDescent="0.25">
      <c r="B5" s="166"/>
      <c r="C5" s="88" t="s">
        <v>111</v>
      </c>
      <c r="D5" s="163" t="s">
        <v>65</v>
      </c>
      <c r="E5" s="164"/>
      <c r="F5" s="163" t="s">
        <v>112</v>
      </c>
      <c r="G5" s="164"/>
      <c r="H5" s="163" t="s">
        <v>76</v>
      </c>
      <c r="I5" s="164"/>
      <c r="J5" s="163" t="s">
        <v>183</v>
      </c>
      <c r="K5" s="164"/>
      <c r="L5" s="163" t="s">
        <v>112</v>
      </c>
      <c r="M5" s="168"/>
    </row>
    <row r="6" spans="2:16" ht="17.25" customHeight="1" thickBot="1" x14ac:dyDescent="0.25">
      <c r="B6" s="73" t="s">
        <v>113</v>
      </c>
      <c r="C6" s="74"/>
      <c r="D6" s="117" t="s">
        <v>166</v>
      </c>
      <c r="E6" s="118"/>
      <c r="F6" s="117" t="s">
        <v>160</v>
      </c>
      <c r="G6" s="118"/>
      <c r="H6" s="117" t="s">
        <v>75</v>
      </c>
      <c r="I6" s="118"/>
      <c r="J6" s="117" t="s">
        <v>220</v>
      </c>
      <c r="K6" s="118"/>
      <c r="L6" s="117" t="s">
        <v>160</v>
      </c>
      <c r="M6" s="121"/>
    </row>
    <row r="7" spans="2:16" ht="24" customHeight="1" x14ac:dyDescent="0.2">
      <c r="B7" s="75"/>
      <c r="C7" s="76" t="s">
        <v>110</v>
      </c>
      <c r="D7" s="158" t="s">
        <v>269</v>
      </c>
      <c r="E7" s="159"/>
      <c r="F7" s="148" t="s">
        <v>208</v>
      </c>
      <c r="G7" s="149"/>
      <c r="H7" s="148" t="s">
        <v>270</v>
      </c>
      <c r="I7" s="149"/>
      <c r="J7" s="148" t="s">
        <v>184</v>
      </c>
      <c r="K7" s="149"/>
      <c r="L7" s="161" t="s">
        <v>232</v>
      </c>
      <c r="M7" s="162"/>
    </row>
    <row r="8" spans="2:16" ht="24.75" customHeight="1" x14ac:dyDescent="0.2">
      <c r="B8" s="138" t="s">
        <v>114</v>
      </c>
      <c r="C8" s="77" t="s">
        <v>115</v>
      </c>
      <c r="D8" s="143" t="s">
        <v>186</v>
      </c>
      <c r="E8" s="143"/>
      <c r="F8" s="155" t="s">
        <v>78</v>
      </c>
      <c r="G8" s="144"/>
      <c r="H8" s="143" t="s">
        <v>187</v>
      </c>
      <c r="I8" s="143"/>
      <c r="J8" s="143" t="s">
        <v>188</v>
      </c>
      <c r="K8" s="143"/>
      <c r="L8" s="111" t="s">
        <v>161</v>
      </c>
      <c r="M8" s="156"/>
    </row>
    <row r="9" spans="2:16" ht="22.5" customHeight="1" x14ac:dyDescent="0.2">
      <c r="B9" s="138"/>
      <c r="C9" s="77" t="s">
        <v>116</v>
      </c>
      <c r="D9" s="143" t="s">
        <v>129</v>
      </c>
      <c r="E9" s="143"/>
      <c r="F9" s="143" t="s">
        <v>68</v>
      </c>
      <c r="G9" s="143"/>
      <c r="H9" s="143"/>
      <c r="I9" s="143"/>
      <c r="J9" s="144" t="s">
        <v>64</v>
      </c>
      <c r="K9" s="143"/>
      <c r="L9" s="143"/>
      <c r="M9" s="145"/>
    </row>
    <row r="10" spans="2:16" ht="17.25" customHeight="1" x14ac:dyDescent="0.2">
      <c r="B10" s="138"/>
      <c r="C10" s="77" t="s">
        <v>117</v>
      </c>
      <c r="D10" s="157"/>
      <c r="E10" s="157"/>
      <c r="F10" s="157" t="s">
        <v>189</v>
      </c>
      <c r="G10" s="157"/>
      <c r="H10" s="143"/>
      <c r="I10" s="143"/>
      <c r="J10" s="111"/>
      <c r="K10" s="111"/>
      <c r="L10" s="143"/>
      <c r="M10" s="145"/>
      <c r="P10" s="64" t="s">
        <v>23</v>
      </c>
    </row>
    <row r="11" spans="2:16" ht="25.5" customHeight="1" x14ac:dyDescent="0.2">
      <c r="B11" s="138"/>
      <c r="C11" s="77" t="s">
        <v>118</v>
      </c>
      <c r="D11" s="143" t="s">
        <v>164</v>
      </c>
      <c r="E11" s="143"/>
      <c r="F11" s="143"/>
      <c r="G11" s="143"/>
      <c r="H11" s="157" t="s">
        <v>69</v>
      </c>
      <c r="I11" s="157"/>
      <c r="J11" s="112" t="s">
        <v>163</v>
      </c>
      <c r="K11" s="112"/>
      <c r="L11" s="143" t="s">
        <v>131</v>
      </c>
      <c r="M11" s="145"/>
      <c r="O11" s="78"/>
    </row>
    <row r="12" spans="2:16" ht="17.25" customHeight="1" x14ac:dyDescent="0.2">
      <c r="B12" s="138"/>
      <c r="C12" s="77" t="s">
        <v>119</v>
      </c>
      <c r="D12" s="111"/>
      <c r="E12" s="111"/>
      <c r="F12" s="111"/>
      <c r="G12" s="111"/>
      <c r="H12" s="157"/>
      <c r="I12" s="157"/>
      <c r="J12" s="111"/>
      <c r="K12" s="111"/>
      <c r="L12" s="112"/>
      <c r="M12" s="114"/>
    </row>
    <row r="13" spans="2:16" ht="17.25" customHeight="1" thickBot="1" x14ac:dyDescent="0.25">
      <c r="B13" s="125"/>
      <c r="C13" s="79" t="s">
        <v>111</v>
      </c>
      <c r="D13" s="134" t="s">
        <v>132</v>
      </c>
      <c r="E13" s="134"/>
      <c r="F13" s="134" t="s">
        <v>132</v>
      </c>
      <c r="G13" s="134"/>
      <c r="H13" s="134" t="s">
        <v>66</v>
      </c>
      <c r="I13" s="134"/>
      <c r="J13" s="134" t="s">
        <v>132</v>
      </c>
      <c r="K13" s="134"/>
      <c r="L13" s="129" t="s">
        <v>70</v>
      </c>
      <c r="M13" s="131"/>
    </row>
    <row r="14" spans="2:16" ht="25.5" customHeight="1" x14ac:dyDescent="0.2">
      <c r="B14" s="124" t="s">
        <v>120</v>
      </c>
      <c r="C14" s="80" t="s">
        <v>121</v>
      </c>
      <c r="D14" s="139" t="s">
        <v>190</v>
      </c>
      <c r="E14" s="140"/>
      <c r="F14" s="139" t="s">
        <v>191</v>
      </c>
      <c r="G14" s="140"/>
      <c r="H14" s="139" t="s">
        <v>192</v>
      </c>
      <c r="I14" s="140"/>
      <c r="J14" s="153" t="s">
        <v>229</v>
      </c>
      <c r="K14" s="154"/>
      <c r="L14" s="126" t="s">
        <v>235</v>
      </c>
      <c r="M14" s="128"/>
    </row>
    <row r="15" spans="2:16" ht="20.25" customHeight="1" thickBot="1" x14ac:dyDescent="0.25">
      <c r="B15" s="125"/>
      <c r="C15" s="81" t="s">
        <v>111</v>
      </c>
      <c r="D15" s="129" t="s">
        <v>76</v>
      </c>
      <c r="E15" s="129"/>
      <c r="F15" s="129" t="s">
        <v>66</v>
      </c>
      <c r="G15" s="129"/>
      <c r="H15" s="129" t="s">
        <v>70</v>
      </c>
      <c r="I15" s="129"/>
      <c r="J15" s="130" t="s">
        <v>65</v>
      </c>
      <c r="K15" s="129"/>
      <c r="L15" s="129" t="s">
        <v>66</v>
      </c>
      <c r="M15" s="131"/>
      <c r="O15" s="150"/>
      <c r="P15" s="150"/>
    </row>
    <row r="16" spans="2:16" ht="17.25" customHeight="1" thickBot="1" x14ac:dyDescent="0.25">
      <c r="B16" s="69" t="s">
        <v>122</v>
      </c>
      <c r="C16" s="70" t="s">
        <v>101</v>
      </c>
      <c r="D16" s="151" t="s">
        <v>102</v>
      </c>
      <c r="E16" s="151"/>
      <c r="F16" s="151" t="s">
        <v>103</v>
      </c>
      <c r="G16" s="151"/>
      <c r="H16" s="151" t="s">
        <v>104</v>
      </c>
      <c r="I16" s="151"/>
      <c r="J16" s="151" t="s">
        <v>105</v>
      </c>
      <c r="K16" s="151"/>
      <c r="L16" s="151" t="s">
        <v>106</v>
      </c>
      <c r="M16" s="152"/>
    </row>
    <row r="17" spans="2:13" ht="17.25" customHeight="1" x14ac:dyDescent="0.2">
      <c r="B17" s="124" t="s">
        <v>107</v>
      </c>
      <c r="C17" s="71" t="s">
        <v>108</v>
      </c>
      <c r="D17" s="122" t="s">
        <v>193</v>
      </c>
      <c r="E17" s="167"/>
      <c r="F17" s="122" t="s">
        <v>109</v>
      </c>
      <c r="G17" s="167"/>
      <c r="H17" s="169" t="s">
        <v>194</v>
      </c>
      <c r="I17" s="167"/>
      <c r="J17" s="122" t="s">
        <v>77</v>
      </c>
      <c r="K17" s="167"/>
      <c r="L17" s="122" t="s">
        <v>259</v>
      </c>
      <c r="M17" s="123"/>
    </row>
    <row r="18" spans="2:13" ht="17.25" customHeight="1" x14ac:dyDescent="0.2">
      <c r="B18" s="138"/>
      <c r="C18" s="72" t="s">
        <v>110</v>
      </c>
      <c r="D18" s="132" t="s">
        <v>159</v>
      </c>
      <c r="E18" s="160"/>
      <c r="F18" s="132" t="s">
        <v>127</v>
      </c>
      <c r="G18" s="160"/>
      <c r="H18" s="132" t="s">
        <v>74</v>
      </c>
      <c r="I18" s="160"/>
      <c r="J18" s="132" t="s">
        <v>159</v>
      </c>
      <c r="K18" s="160"/>
      <c r="L18" s="132" t="s">
        <v>133</v>
      </c>
      <c r="M18" s="133"/>
    </row>
    <row r="19" spans="2:13" ht="17.25" customHeight="1" thickBot="1" x14ac:dyDescent="0.25">
      <c r="B19" s="125"/>
      <c r="C19" s="82" t="s">
        <v>111</v>
      </c>
      <c r="D19" s="134" t="s">
        <v>66</v>
      </c>
      <c r="E19" s="134"/>
      <c r="F19" s="135" t="s">
        <v>76</v>
      </c>
      <c r="G19" s="136"/>
      <c r="H19" s="129" t="s">
        <v>112</v>
      </c>
      <c r="I19" s="129"/>
      <c r="J19" s="135" t="s">
        <v>76</v>
      </c>
      <c r="K19" s="136"/>
      <c r="L19" s="135" t="s">
        <v>66</v>
      </c>
      <c r="M19" s="137"/>
    </row>
    <row r="20" spans="2:13" ht="17.25" customHeight="1" thickBot="1" x14ac:dyDescent="0.25">
      <c r="B20" s="83" t="s">
        <v>113</v>
      </c>
      <c r="C20" s="84"/>
      <c r="D20" s="115" t="s">
        <v>128</v>
      </c>
      <c r="E20" s="116"/>
      <c r="F20" s="117" t="s">
        <v>75</v>
      </c>
      <c r="G20" s="118"/>
      <c r="H20" s="119" t="s">
        <v>160</v>
      </c>
      <c r="I20" s="120"/>
      <c r="J20" s="117" t="s">
        <v>166</v>
      </c>
      <c r="K20" s="118"/>
      <c r="L20" s="117" t="s">
        <v>75</v>
      </c>
      <c r="M20" s="121"/>
    </row>
    <row r="21" spans="2:13" ht="25.5" customHeight="1" x14ac:dyDescent="0.2">
      <c r="B21" s="124" t="s">
        <v>114</v>
      </c>
      <c r="C21" s="85" t="s">
        <v>110</v>
      </c>
      <c r="D21" s="148" t="s">
        <v>185</v>
      </c>
      <c r="E21" s="149"/>
      <c r="F21" s="139" t="s">
        <v>275</v>
      </c>
      <c r="G21" s="140"/>
      <c r="H21" s="139" t="s">
        <v>231</v>
      </c>
      <c r="I21" s="140"/>
      <c r="J21" s="148" t="s">
        <v>270</v>
      </c>
      <c r="K21" s="149"/>
      <c r="L21" s="141" t="s">
        <v>276</v>
      </c>
      <c r="M21" s="142"/>
    </row>
    <row r="22" spans="2:13" ht="24.75" customHeight="1" x14ac:dyDescent="0.2">
      <c r="B22" s="138"/>
      <c r="C22" s="77" t="s">
        <v>115</v>
      </c>
      <c r="D22" s="111" t="s">
        <v>196</v>
      </c>
      <c r="E22" s="111"/>
      <c r="F22" s="111" t="s">
        <v>134</v>
      </c>
      <c r="G22" s="111"/>
      <c r="H22" s="143" t="s">
        <v>197</v>
      </c>
      <c r="I22" s="143"/>
      <c r="J22" s="143" t="s">
        <v>198</v>
      </c>
      <c r="K22" s="143"/>
      <c r="L22" s="144" t="s">
        <v>207</v>
      </c>
      <c r="M22" s="145"/>
    </row>
    <row r="23" spans="2:13" ht="24" customHeight="1" x14ac:dyDescent="0.2">
      <c r="B23" s="138"/>
      <c r="C23" s="77" t="s">
        <v>116</v>
      </c>
      <c r="D23" s="111" t="s">
        <v>162</v>
      </c>
      <c r="E23" s="111"/>
      <c r="F23" s="143" t="s">
        <v>260</v>
      </c>
      <c r="G23" s="143"/>
      <c r="H23" s="111"/>
      <c r="I23" s="111"/>
      <c r="J23" s="143" t="s">
        <v>129</v>
      </c>
      <c r="K23" s="143"/>
      <c r="L23" s="143" t="s">
        <v>68</v>
      </c>
      <c r="M23" s="145"/>
    </row>
    <row r="24" spans="2:13" ht="17.25" customHeight="1" x14ac:dyDescent="0.2">
      <c r="B24" s="138"/>
      <c r="C24" s="77" t="s">
        <v>118</v>
      </c>
      <c r="D24" s="111" t="s">
        <v>164</v>
      </c>
      <c r="E24" s="111"/>
      <c r="F24" s="146"/>
      <c r="G24" s="147"/>
      <c r="H24" s="111" t="s">
        <v>130</v>
      </c>
      <c r="I24" s="111"/>
      <c r="J24" s="111" t="s">
        <v>167</v>
      </c>
      <c r="K24" s="111"/>
      <c r="L24" s="143" t="s">
        <v>199</v>
      </c>
      <c r="M24" s="145"/>
    </row>
    <row r="25" spans="2:13" ht="17.25" customHeight="1" x14ac:dyDescent="0.2">
      <c r="B25" s="138"/>
      <c r="C25" s="77" t="s">
        <v>117</v>
      </c>
      <c r="D25" s="108"/>
      <c r="E25" s="109"/>
      <c r="F25" s="108"/>
      <c r="G25" s="109"/>
      <c r="H25" s="108"/>
      <c r="I25" s="109"/>
      <c r="J25" s="108"/>
      <c r="K25" s="109"/>
      <c r="L25" s="108"/>
      <c r="M25" s="110"/>
    </row>
    <row r="26" spans="2:13" ht="17.25" customHeight="1" x14ac:dyDescent="0.2">
      <c r="B26" s="138"/>
      <c r="C26" s="77" t="s">
        <v>119</v>
      </c>
      <c r="D26" s="111"/>
      <c r="E26" s="111"/>
      <c r="F26" s="108" t="s">
        <v>261</v>
      </c>
      <c r="G26" s="109"/>
      <c r="H26" s="112"/>
      <c r="I26" s="112"/>
      <c r="J26" s="113"/>
      <c r="K26" s="113"/>
      <c r="L26" s="112"/>
      <c r="M26" s="114"/>
    </row>
    <row r="27" spans="2:13" ht="17.25" customHeight="1" thickBot="1" x14ac:dyDescent="0.25">
      <c r="B27" s="125"/>
      <c r="C27" s="79" t="s">
        <v>111</v>
      </c>
      <c r="D27" s="129" t="s">
        <v>132</v>
      </c>
      <c r="E27" s="129"/>
      <c r="F27" s="129" t="s">
        <v>70</v>
      </c>
      <c r="G27" s="129"/>
      <c r="H27" s="129" t="s">
        <v>250</v>
      </c>
      <c r="I27" s="129"/>
      <c r="J27" s="129" t="s">
        <v>132</v>
      </c>
      <c r="K27" s="129"/>
      <c r="L27" s="129" t="s">
        <v>132</v>
      </c>
      <c r="M27" s="131"/>
    </row>
    <row r="28" spans="2:13" ht="19.5" customHeight="1" x14ac:dyDescent="0.2">
      <c r="B28" s="124" t="s">
        <v>120</v>
      </c>
      <c r="C28" s="80" t="s">
        <v>121</v>
      </c>
      <c r="D28" s="126" t="s">
        <v>123</v>
      </c>
      <c r="E28" s="127"/>
      <c r="F28" s="126" t="s">
        <v>200</v>
      </c>
      <c r="G28" s="127"/>
      <c r="H28" s="126" t="s">
        <v>165</v>
      </c>
      <c r="I28" s="127"/>
      <c r="J28" s="126" t="s">
        <v>201</v>
      </c>
      <c r="K28" s="127"/>
      <c r="L28" s="126" t="s">
        <v>264</v>
      </c>
      <c r="M28" s="128"/>
    </row>
    <row r="29" spans="2:13" ht="17.25" customHeight="1" thickBot="1" x14ac:dyDescent="0.25">
      <c r="B29" s="125"/>
      <c r="C29" s="81" t="s">
        <v>111</v>
      </c>
      <c r="D29" s="129" t="s">
        <v>112</v>
      </c>
      <c r="E29" s="129"/>
      <c r="F29" s="129" t="s">
        <v>65</v>
      </c>
      <c r="G29" s="129"/>
      <c r="H29" s="129" t="s">
        <v>66</v>
      </c>
      <c r="I29" s="129"/>
      <c r="J29" s="129" t="s">
        <v>202</v>
      </c>
      <c r="K29" s="129"/>
      <c r="L29" s="130" t="s">
        <v>70</v>
      </c>
      <c r="M29" s="131"/>
    </row>
    <row r="30" spans="2:13" ht="17.25" customHeight="1" x14ac:dyDescent="0.2">
      <c r="D30" s="86"/>
      <c r="E30" s="86"/>
      <c r="F30" s="86"/>
      <c r="G30" s="86"/>
      <c r="H30" s="86"/>
      <c r="I30" s="86"/>
      <c r="J30" s="86"/>
      <c r="K30" s="86"/>
      <c r="L30" s="86"/>
      <c r="M30" s="86"/>
    </row>
    <row r="31" spans="2:13" ht="17.25" customHeight="1" x14ac:dyDescent="0.2">
      <c r="C31" s="64" t="s">
        <v>23</v>
      </c>
      <c r="H31" s="64" t="s">
        <v>23</v>
      </c>
    </row>
    <row r="32" spans="2:13" ht="17.25" customHeight="1" x14ac:dyDescent="0.2"/>
  </sheetData>
  <mergeCells count="147">
    <mergeCell ref="D21:E21"/>
    <mergeCell ref="H21:I21"/>
    <mergeCell ref="L2:M2"/>
    <mergeCell ref="B3:B5"/>
    <mergeCell ref="D3:E3"/>
    <mergeCell ref="F3:G3"/>
    <mergeCell ref="H3:I3"/>
    <mergeCell ref="J3:K3"/>
    <mergeCell ref="L3:M3"/>
    <mergeCell ref="D4:E4"/>
    <mergeCell ref="F4:G4"/>
    <mergeCell ref="H4:I4"/>
    <mergeCell ref="L4:M4"/>
    <mergeCell ref="L5:M5"/>
    <mergeCell ref="B17:B19"/>
    <mergeCell ref="D17:E17"/>
    <mergeCell ref="F17:G17"/>
    <mergeCell ref="H17:I17"/>
    <mergeCell ref="J17:K17"/>
    <mergeCell ref="B14:B15"/>
    <mergeCell ref="D2:E2"/>
    <mergeCell ref="F2:G2"/>
    <mergeCell ref="H2:I2"/>
    <mergeCell ref="J2:K2"/>
    <mergeCell ref="J4:K4"/>
    <mergeCell ref="D5:E5"/>
    <mergeCell ref="F5:G5"/>
    <mergeCell ref="H5:I5"/>
    <mergeCell ref="J5:K5"/>
    <mergeCell ref="D6:E6"/>
    <mergeCell ref="F6:G6"/>
    <mergeCell ref="H6:I6"/>
    <mergeCell ref="J6:K6"/>
    <mergeCell ref="D7:E7"/>
    <mergeCell ref="D18:E18"/>
    <mergeCell ref="F18:G18"/>
    <mergeCell ref="H18:I18"/>
    <mergeCell ref="J18:K18"/>
    <mergeCell ref="L6:M6"/>
    <mergeCell ref="F7:G7"/>
    <mergeCell ref="H7:I7"/>
    <mergeCell ref="J7:K7"/>
    <mergeCell ref="J12:K12"/>
    <mergeCell ref="L12:M12"/>
    <mergeCell ref="D13:E13"/>
    <mergeCell ref="F13:G13"/>
    <mergeCell ref="H13:I13"/>
    <mergeCell ref="J13:K13"/>
    <mergeCell ref="L13:M13"/>
    <mergeCell ref="L14:M14"/>
    <mergeCell ref="D15:E15"/>
    <mergeCell ref="F15:G15"/>
    <mergeCell ref="H15:I15"/>
    <mergeCell ref="J15:K15"/>
    <mergeCell ref="L15:M15"/>
    <mergeCell ref="L7:M7"/>
    <mergeCell ref="B8:B13"/>
    <mergeCell ref="D8:E8"/>
    <mergeCell ref="F8:G8"/>
    <mergeCell ref="H8:I8"/>
    <mergeCell ref="J8:K8"/>
    <mergeCell ref="L8:M8"/>
    <mergeCell ref="D9:E9"/>
    <mergeCell ref="F9:G9"/>
    <mergeCell ref="H9:I9"/>
    <mergeCell ref="J9:K9"/>
    <mergeCell ref="L9:M9"/>
    <mergeCell ref="D10:E10"/>
    <mergeCell ref="F10:G10"/>
    <mergeCell ref="H10:I10"/>
    <mergeCell ref="J10:K10"/>
    <mergeCell ref="L10:M10"/>
    <mergeCell ref="D11:E11"/>
    <mergeCell ref="F11:G11"/>
    <mergeCell ref="H11:I11"/>
    <mergeCell ref="J11:K11"/>
    <mergeCell ref="L11:M11"/>
    <mergeCell ref="D12:E12"/>
    <mergeCell ref="F12:G12"/>
    <mergeCell ref="H12:I12"/>
    <mergeCell ref="O15:P15"/>
    <mergeCell ref="D16:E16"/>
    <mergeCell ref="F16:G16"/>
    <mergeCell ref="H16:I16"/>
    <mergeCell ref="J16:K16"/>
    <mergeCell ref="L16:M16"/>
    <mergeCell ref="D14:E14"/>
    <mergeCell ref="F14:G14"/>
    <mergeCell ref="H14:I14"/>
    <mergeCell ref="J14:K14"/>
    <mergeCell ref="B21:B27"/>
    <mergeCell ref="F21:G21"/>
    <mergeCell ref="L21:M21"/>
    <mergeCell ref="D22:E22"/>
    <mergeCell ref="F22:G22"/>
    <mergeCell ref="H22:I22"/>
    <mergeCell ref="J22:K22"/>
    <mergeCell ref="L22:M22"/>
    <mergeCell ref="D23:E23"/>
    <mergeCell ref="F23:G23"/>
    <mergeCell ref="H23:I23"/>
    <mergeCell ref="J23:K23"/>
    <mergeCell ref="L23:M23"/>
    <mergeCell ref="D24:E24"/>
    <mergeCell ref="F24:G24"/>
    <mergeCell ref="H24:I24"/>
    <mergeCell ref="J24:K24"/>
    <mergeCell ref="L24:M24"/>
    <mergeCell ref="J21:K21"/>
    <mergeCell ref="D27:E27"/>
    <mergeCell ref="F27:G27"/>
    <mergeCell ref="H27:I27"/>
    <mergeCell ref="J27:K27"/>
    <mergeCell ref="L27:M27"/>
    <mergeCell ref="D20:E20"/>
    <mergeCell ref="F20:G20"/>
    <mergeCell ref="H20:I20"/>
    <mergeCell ref="J20:K20"/>
    <mergeCell ref="L20:M20"/>
    <mergeCell ref="L17:M17"/>
    <mergeCell ref="D25:E25"/>
    <mergeCell ref="B28:B29"/>
    <mergeCell ref="D28:E28"/>
    <mergeCell ref="F28:G28"/>
    <mergeCell ref="H28:I28"/>
    <mergeCell ref="J28:K28"/>
    <mergeCell ref="L28:M28"/>
    <mergeCell ref="D29:E29"/>
    <mergeCell ref="F29:G29"/>
    <mergeCell ref="H29:I29"/>
    <mergeCell ref="J29:K29"/>
    <mergeCell ref="L29:M29"/>
    <mergeCell ref="L18:M18"/>
    <mergeCell ref="D19:E19"/>
    <mergeCell ref="F19:G19"/>
    <mergeCell ref="H19:I19"/>
    <mergeCell ref="J19:K19"/>
    <mergeCell ref="L19:M19"/>
    <mergeCell ref="F25:G25"/>
    <mergeCell ref="H25:I25"/>
    <mergeCell ref="J25:K25"/>
    <mergeCell ref="L25:M25"/>
    <mergeCell ref="D26:E26"/>
    <mergeCell ref="F26:G26"/>
    <mergeCell ref="H26:I26"/>
    <mergeCell ref="J26:K26"/>
    <mergeCell ref="L26:M26"/>
  </mergeCells>
  <hyperlinks>
    <hyperlink ref="D2:E2" location="'день 1 '!A1" display="1 день"/>
    <hyperlink ref="F2:M2" location="'день 1 '!A1" display="1 день"/>
    <hyperlink ref="D16:E16" location="'день 1 '!A1" display="1 день"/>
    <hyperlink ref="F16:M16" location="'день 1 '!A1" display="1 день"/>
  </hyperlinks>
  <pageMargins left="0.32291666666666669" right="0.7" top="0.29166666666666669" bottom="0.44791666666666669" header="0.3" footer="0.3"/>
  <pageSetup paperSize="9" scale="7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3:Z40"/>
  <sheetViews>
    <sheetView zoomScale="90" zoomScaleNormal="90" zoomScalePageLayoutView="90" workbookViewId="0">
      <selection activeCell="F18" sqref="F18"/>
    </sheetView>
  </sheetViews>
  <sheetFormatPr defaultColWidth="9.140625" defaultRowHeight="15" x14ac:dyDescent="0.25"/>
  <cols>
    <col min="1" max="1" width="5.5703125" style="12" customWidth="1"/>
    <col min="2" max="2" width="2.7109375" style="12" customWidth="1"/>
    <col min="3" max="3" width="10.5703125" style="12" customWidth="1"/>
    <col min="4" max="4" width="39.28515625" style="12" customWidth="1"/>
    <col min="5" max="6" width="7.28515625" style="12" customWidth="1"/>
    <col min="7" max="7" width="6.7109375" style="12" customWidth="1"/>
    <col min="8" max="8" width="6.85546875" style="12" customWidth="1"/>
    <col min="9" max="9" width="6.42578125" style="12" customWidth="1"/>
    <col min="10" max="10" width="6.5703125" style="12" customWidth="1"/>
    <col min="11" max="11" width="7.5703125" style="12" customWidth="1"/>
    <col min="12" max="12" width="7.42578125" style="12" customWidth="1"/>
    <col min="13" max="13" width="8.5703125" style="12" customWidth="1"/>
    <col min="14" max="14" width="7.5703125" style="12" customWidth="1"/>
    <col min="15" max="15" width="9.28515625" style="12" customWidth="1"/>
    <col min="16" max="16" width="5.7109375" style="12" customWidth="1"/>
    <col min="17" max="18" width="5.28515625" style="12" customWidth="1"/>
    <col min="19" max="20" width="9.140625" style="12"/>
    <col min="21" max="21" width="19.7109375" style="12" customWidth="1"/>
    <col min="22" max="22" width="7.7109375" style="12" customWidth="1"/>
    <col min="23" max="23" width="9.140625" style="12"/>
    <col min="24" max="24" width="7.7109375" style="12" customWidth="1"/>
    <col min="25" max="16384" width="9.140625" style="12"/>
  </cols>
  <sheetData>
    <row r="3" spans="2:26" ht="16.5" customHeight="1" thickBot="1" x14ac:dyDescent="0.3">
      <c r="B3" s="172" t="s">
        <v>50</v>
      </c>
      <c r="C3" s="172"/>
      <c r="D3" s="172"/>
      <c r="E3" s="172"/>
      <c r="O3" s="2"/>
      <c r="P3" s="2"/>
      <c r="Q3" s="1"/>
      <c r="R3" s="1"/>
      <c r="S3" s="1"/>
      <c r="T3" s="1"/>
      <c r="U3" s="2"/>
      <c r="V3" s="2"/>
      <c r="W3" s="1"/>
      <c r="X3" s="1"/>
      <c r="Y3" s="1"/>
      <c r="Z3" s="1"/>
    </row>
    <row r="4" spans="2:26" ht="15" customHeight="1" x14ac:dyDescent="0.25">
      <c r="B4" s="209" t="s">
        <v>39</v>
      </c>
      <c r="C4" s="181" t="s">
        <v>0</v>
      </c>
      <c r="D4" s="184" t="s">
        <v>1</v>
      </c>
      <c r="E4" s="212" t="s">
        <v>6</v>
      </c>
      <c r="F4" s="213"/>
      <c r="G4" s="216" t="s">
        <v>7</v>
      </c>
      <c r="H4" s="217"/>
      <c r="I4" s="217"/>
      <c r="J4" s="217"/>
      <c r="K4" s="217"/>
      <c r="L4" s="218"/>
      <c r="M4" s="223" t="s">
        <v>5</v>
      </c>
      <c r="N4" s="224"/>
      <c r="O4" s="1"/>
      <c r="P4" s="3"/>
      <c r="Q4" s="5"/>
      <c r="R4" s="5"/>
      <c r="S4" s="5"/>
      <c r="T4" s="5"/>
      <c r="U4" s="1"/>
      <c r="V4" s="3"/>
      <c r="W4" s="5"/>
      <c r="X4" s="5"/>
      <c r="Y4" s="5"/>
      <c r="Z4" s="5"/>
    </row>
    <row r="5" spans="2:26" ht="15" customHeight="1" x14ac:dyDescent="0.25">
      <c r="B5" s="210"/>
      <c r="C5" s="182"/>
      <c r="D5" s="185"/>
      <c r="E5" s="214"/>
      <c r="F5" s="215"/>
      <c r="G5" s="219" t="s">
        <v>3</v>
      </c>
      <c r="H5" s="220"/>
      <c r="I5" s="221" t="s">
        <v>2</v>
      </c>
      <c r="J5" s="222"/>
      <c r="K5" s="219" t="s">
        <v>4</v>
      </c>
      <c r="L5" s="220"/>
      <c r="M5" s="225"/>
      <c r="N5" s="226"/>
      <c r="O5" s="1"/>
      <c r="P5" s="3"/>
      <c r="Q5" s="5"/>
      <c r="R5" s="5"/>
      <c r="S5" s="5"/>
      <c r="T5" s="5"/>
      <c r="U5" s="1"/>
      <c r="V5" s="3"/>
      <c r="W5" s="5"/>
      <c r="X5" s="5"/>
      <c r="Y5" s="5"/>
      <c r="Z5" s="5"/>
    </row>
    <row r="6" spans="2:26" ht="27.75" customHeight="1" thickBot="1" x14ac:dyDescent="0.3">
      <c r="B6" s="211"/>
      <c r="C6" s="183"/>
      <c r="D6" s="186"/>
      <c r="E6" s="24" t="s">
        <v>15</v>
      </c>
      <c r="F6" s="25" t="s">
        <v>42</v>
      </c>
      <c r="G6" s="24" t="s">
        <v>15</v>
      </c>
      <c r="H6" s="25" t="s">
        <v>42</v>
      </c>
      <c r="I6" s="24" t="s">
        <v>15</v>
      </c>
      <c r="J6" s="25" t="s">
        <v>42</v>
      </c>
      <c r="K6" s="24" t="s">
        <v>15</v>
      </c>
      <c r="L6" s="25" t="s">
        <v>42</v>
      </c>
      <c r="M6" s="24" t="s">
        <v>15</v>
      </c>
      <c r="N6" s="26" t="s">
        <v>42</v>
      </c>
      <c r="O6" s="1"/>
      <c r="P6" s="3"/>
      <c r="Q6" s="5"/>
      <c r="R6" s="5"/>
      <c r="S6" s="5"/>
      <c r="T6" s="5"/>
      <c r="U6" s="1"/>
      <c r="V6" s="3"/>
      <c r="W6" s="5"/>
      <c r="X6" s="5"/>
      <c r="Y6" s="5"/>
      <c r="Z6" s="5"/>
    </row>
    <row r="7" spans="2:26" ht="15" customHeight="1" x14ac:dyDescent="0.25">
      <c r="B7" s="206" t="s">
        <v>46</v>
      </c>
      <c r="C7" s="175" t="s">
        <v>8</v>
      </c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7"/>
      <c r="O7" s="1"/>
      <c r="P7" s="3"/>
      <c r="Q7" s="5"/>
      <c r="R7" s="5"/>
      <c r="S7" s="5"/>
      <c r="T7" s="5"/>
      <c r="U7" s="1"/>
      <c r="V7" s="3"/>
      <c r="W7" s="5"/>
      <c r="X7" s="5"/>
      <c r="Y7" s="5"/>
      <c r="Z7" s="5"/>
    </row>
    <row r="8" spans="2:26" x14ac:dyDescent="0.25">
      <c r="B8" s="207"/>
      <c r="C8" s="15" t="s">
        <v>61</v>
      </c>
      <c r="D8" s="8" t="s">
        <v>62</v>
      </c>
      <c r="E8" s="102">
        <v>140</v>
      </c>
      <c r="F8" s="27">
        <v>160</v>
      </c>
      <c r="G8" s="17">
        <f>E8*3.63/100</f>
        <v>5.0819999999999999</v>
      </c>
      <c r="H8" s="30">
        <f>F8*3.63/100</f>
        <v>5.8079999999999998</v>
      </c>
      <c r="I8" s="17">
        <f>E8*3.62/100</f>
        <v>5.0680000000000005</v>
      </c>
      <c r="J8" s="30">
        <f>F8*3.62/100</f>
        <v>5.7920000000000007</v>
      </c>
      <c r="K8" s="17">
        <f>E8*17.42/100</f>
        <v>24.388000000000002</v>
      </c>
      <c r="L8" s="30">
        <f>F8*17.42/100</f>
        <v>27.872000000000003</v>
      </c>
      <c r="M8" s="17">
        <f t="shared" ref="M8:N8" si="0">G8*4+I8*9+K8*4</f>
        <v>163.49200000000002</v>
      </c>
      <c r="N8" s="32">
        <f t="shared" si="0"/>
        <v>186.84800000000001</v>
      </c>
      <c r="O8" s="1"/>
      <c r="P8" s="3"/>
      <c r="Q8" s="5"/>
      <c r="R8" s="5"/>
      <c r="S8" s="5"/>
      <c r="T8" s="5"/>
      <c r="U8" s="1"/>
      <c r="V8" s="3"/>
      <c r="W8" s="5"/>
      <c r="X8" s="5"/>
      <c r="Y8" s="5"/>
      <c r="Z8" s="5"/>
    </row>
    <row r="9" spans="2:26" x14ac:dyDescent="0.25">
      <c r="B9" s="207"/>
      <c r="C9" s="16" t="s">
        <v>168</v>
      </c>
      <c r="D9" s="93" t="s">
        <v>169</v>
      </c>
      <c r="E9" s="65">
        <v>25</v>
      </c>
      <c r="F9" s="62">
        <v>30</v>
      </c>
      <c r="G9" s="94">
        <f>E9*7.5/100</f>
        <v>1.875</v>
      </c>
      <c r="H9" s="40">
        <f>F9*7.5/100</f>
        <v>2.25</v>
      </c>
      <c r="I9" s="95">
        <f>E9*2.9/100</f>
        <v>0.72499999999999998</v>
      </c>
      <c r="J9" s="30">
        <f>F9*2.9/100</f>
        <v>0.87</v>
      </c>
      <c r="K9" s="95">
        <f>E9*51.4/100</f>
        <v>12.85</v>
      </c>
      <c r="L9" s="30">
        <f>F9*51.4/100</f>
        <v>15.42</v>
      </c>
      <c r="M9" s="95">
        <f t="shared" ref="M9:N10" si="1">G9*4+I9*9+K9*4</f>
        <v>65.424999999999997</v>
      </c>
      <c r="N9" s="32">
        <f t="shared" si="1"/>
        <v>78.509999999999991</v>
      </c>
      <c r="O9" s="1"/>
      <c r="P9" s="3"/>
      <c r="Q9" s="5"/>
      <c r="R9" s="5"/>
      <c r="S9" s="5"/>
      <c r="T9" s="5"/>
      <c r="U9" s="1"/>
      <c r="V9" s="3"/>
      <c r="W9" s="5"/>
      <c r="X9" s="5"/>
      <c r="Y9" s="5"/>
      <c r="Z9" s="5"/>
    </row>
    <row r="10" spans="2:26" x14ac:dyDescent="0.25">
      <c r="B10" s="207"/>
      <c r="C10" s="16" t="s">
        <v>36</v>
      </c>
      <c r="D10" s="103" t="s">
        <v>86</v>
      </c>
      <c r="E10" s="102">
        <v>10</v>
      </c>
      <c r="F10" s="50">
        <v>10</v>
      </c>
      <c r="G10" s="20">
        <f>E10*0/10</f>
        <v>0</v>
      </c>
      <c r="H10" s="63">
        <f>F10*0/10</f>
        <v>0</v>
      </c>
      <c r="I10" s="20">
        <f>E10*0/10</f>
        <v>0</v>
      </c>
      <c r="J10" s="63">
        <f>F10*0/10</f>
        <v>0</v>
      </c>
      <c r="K10" s="17">
        <f>E10*61/100</f>
        <v>6.1</v>
      </c>
      <c r="L10" s="30">
        <f>F10*61/100</f>
        <v>6.1</v>
      </c>
      <c r="M10" s="17">
        <f t="shared" si="1"/>
        <v>24.4</v>
      </c>
      <c r="N10" s="32">
        <f t="shared" si="1"/>
        <v>24.4</v>
      </c>
      <c r="O10" s="1"/>
      <c r="P10" s="3"/>
      <c r="Q10" s="5"/>
      <c r="R10" s="5"/>
      <c r="S10" s="5"/>
      <c r="T10" s="5"/>
      <c r="U10" s="1"/>
      <c r="V10" s="3"/>
      <c r="W10" s="5"/>
      <c r="X10" s="5"/>
      <c r="Y10" s="5"/>
      <c r="Z10" s="5"/>
    </row>
    <row r="11" spans="2:26" x14ac:dyDescent="0.25">
      <c r="B11" s="207"/>
      <c r="C11" s="15" t="s">
        <v>89</v>
      </c>
      <c r="D11" s="9" t="s">
        <v>90</v>
      </c>
      <c r="E11" s="92">
        <v>180</v>
      </c>
      <c r="F11" s="28">
        <v>200</v>
      </c>
      <c r="G11" s="17">
        <f>E11*1.65/100</f>
        <v>2.97</v>
      </c>
      <c r="H11" s="30">
        <f>F11*1.65/100</f>
        <v>3.3</v>
      </c>
      <c r="I11" s="17">
        <f>E11*1.45/100</f>
        <v>2.61</v>
      </c>
      <c r="J11" s="30">
        <f>F11*1.45/100</f>
        <v>2.9</v>
      </c>
      <c r="K11" s="17">
        <f>E11*6.9/100</f>
        <v>12.42</v>
      </c>
      <c r="L11" s="30">
        <f>F11*6.9/100</f>
        <v>13.8</v>
      </c>
      <c r="M11" s="17">
        <f t="shared" ref="M11:N12" si="2">G11*4+I11*9+K11*4</f>
        <v>85.05</v>
      </c>
      <c r="N11" s="32">
        <f t="shared" si="2"/>
        <v>94.5</v>
      </c>
      <c r="O11" s="1"/>
      <c r="P11" s="3"/>
      <c r="Q11" s="5"/>
      <c r="R11" s="5"/>
      <c r="S11" s="5"/>
      <c r="T11" s="5"/>
      <c r="U11" s="1"/>
      <c r="V11" s="3"/>
      <c r="W11" s="5"/>
      <c r="X11" s="5"/>
      <c r="Y11" s="5"/>
      <c r="Z11" s="5"/>
    </row>
    <row r="12" spans="2:26" x14ac:dyDescent="0.25">
      <c r="B12" s="207"/>
      <c r="C12" s="23"/>
      <c r="D12" s="4" t="s">
        <v>13</v>
      </c>
      <c r="E12" s="21">
        <f>SUM(E8:E11)</f>
        <v>355</v>
      </c>
      <c r="F12" s="29">
        <f t="shared" ref="F12" si="3">SUM(F8:F11)</f>
        <v>400</v>
      </c>
      <c r="G12" s="7">
        <f>SUM(G8:G11)</f>
        <v>9.9269999999999996</v>
      </c>
      <c r="H12" s="31">
        <f t="shared" ref="H12:K12" si="4">SUM(H8:H11)</f>
        <v>11.358000000000001</v>
      </c>
      <c r="I12" s="7">
        <f t="shared" si="4"/>
        <v>8.4030000000000005</v>
      </c>
      <c r="J12" s="31">
        <f t="shared" si="4"/>
        <v>9.5620000000000012</v>
      </c>
      <c r="K12" s="7">
        <f t="shared" si="4"/>
        <v>55.758000000000003</v>
      </c>
      <c r="L12" s="31">
        <f>SUM(L8:L11)</f>
        <v>63.192000000000007</v>
      </c>
      <c r="M12" s="7">
        <f>G12*4+I12*9+K12*4</f>
        <v>338.36700000000002</v>
      </c>
      <c r="N12" s="33">
        <f t="shared" si="2"/>
        <v>384.25800000000004</v>
      </c>
      <c r="O12" s="1"/>
      <c r="P12" s="3"/>
      <c r="Q12" s="5"/>
      <c r="R12" s="5"/>
      <c r="S12" s="5"/>
      <c r="T12" s="5"/>
      <c r="U12" s="1"/>
      <c r="V12" s="3"/>
      <c r="W12" s="5"/>
      <c r="X12" s="5"/>
      <c r="Y12" s="5"/>
      <c r="Z12" s="5"/>
    </row>
    <row r="13" spans="2:26" x14ac:dyDescent="0.25">
      <c r="B13" s="207"/>
      <c r="C13" s="178" t="s">
        <v>79</v>
      </c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80"/>
      <c r="O13" s="1"/>
      <c r="P13" s="3"/>
      <c r="Q13" s="5"/>
      <c r="R13" s="5"/>
      <c r="S13" s="5"/>
      <c r="T13" s="5"/>
      <c r="U13" s="1"/>
      <c r="V13" s="3"/>
      <c r="W13" s="5"/>
      <c r="X13" s="5"/>
      <c r="Y13" s="5"/>
      <c r="Z13" s="5"/>
    </row>
    <row r="14" spans="2:26" x14ac:dyDescent="0.25">
      <c r="B14" s="207"/>
      <c r="C14" s="16" t="s">
        <v>174</v>
      </c>
      <c r="D14" s="6" t="s">
        <v>175</v>
      </c>
      <c r="E14" s="102">
        <v>100</v>
      </c>
      <c r="F14" s="28">
        <v>100</v>
      </c>
      <c r="G14" s="17">
        <f>E14*0/100</f>
        <v>0</v>
      </c>
      <c r="H14" s="30">
        <f>F14*0/100</f>
        <v>0</v>
      </c>
      <c r="I14" s="17">
        <f>E14*0/100</f>
        <v>0</v>
      </c>
      <c r="J14" s="30">
        <f>F14*0/100</f>
        <v>0</v>
      </c>
      <c r="K14" s="17">
        <f>E14*7.5/100</f>
        <v>7.5</v>
      </c>
      <c r="L14" s="30">
        <f>F14*7.5/100</f>
        <v>7.5</v>
      </c>
      <c r="M14" s="17">
        <f t="shared" ref="M14:N14" si="5">G14*4+I14*9+K14*4</f>
        <v>30</v>
      </c>
      <c r="N14" s="32">
        <f t="shared" si="5"/>
        <v>30</v>
      </c>
      <c r="O14" s="1"/>
      <c r="P14" s="3"/>
      <c r="Q14" s="5"/>
      <c r="R14" s="5"/>
      <c r="S14" s="5"/>
      <c r="T14" s="5"/>
      <c r="U14" s="1"/>
      <c r="V14" s="3"/>
      <c r="W14" s="5"/>
      <c r="X14" s="5"/>
      <c r="Y14" s="5"/>
      <c r="Z14" s="5"/>
    </row>
    <row r="15" spans="2:26" x14ac:dyDescent="0.25">
      <c r="B15" s="207"/>
      <c r="C15" s="15"/>
      <c r="D15" s="4" t="s">
        <v>80</v>
      </c>
      <c r="E15" s="21">
        <f t="shared" ref="E15:L15" si="6">SUM(E14)</f>
        <v>100</v>
      </c>
      <c r="F15" s="29">
        <f t="shared" si="6"/>
        <v>100</v>
      </c>
      <c r="G15" s="7">
        <f t="shared" si="6"/>
        <v>0</v>
      </c>
      <c r="H15" s="31">
        <f t="shared" si="6"/>
        <v>0</v>
      </c>
      <c r="I15" s="7">
        <f t="shared" si="6"/>
        <v>0</v>
      </c>
      <c r="J15" s="31">
        <f t="shared" si="6"/>
        <v>0</v>
      </c>
      <c r="K15" s="7">
        <f t="shared" si="6"/>
        <v>7.5</v>
      </c>
      <c r="L15" s="31">
        <f t="shared" si="6"/>
        <v>7.5</v>
      </c>
      <c r="M15" s="7">
        <f>G15*4+I15*9+K15*4</f>
        <v>30</v>
      </c>
      <c r="N15" s="33">
        <f>H15*4+J15*9+L15*4</f>
        <v>30</v>
      </c>
      <c r="O15" s="1"/>
      <c r="P15" s="3"/>
      <c r="Q15" s="5"/>
      <c r="R15" s="5"/>
      <c r="S15" s="5"/>
      <c r="T15" s="5"/>
      <c r="U15" s="1"/>
      <c r="V15" s="3"/>
      <c r="W15" s="5"/>
      <c r="X15" s="5"/>
      <c r="Y15" s="5"/>
      <c r="Z15" s="5"/>
    </row>
    <row r="16" spans="2:26" x14ac:dyDescent="0.25">
      <c r="B16" s="207"/>
      <c r="C16" s="178" t="s">
        <v>9</v>
      </c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80"/>
      <c r="O16" s="1"/>
      <c r="P16" s="3"/>
      <c r="Q16" s="5"/>
      <c r="R16" s="5"/>
      <c r="S16" s="5"/>
      <c r="T16" s="5"/>
      <c r="U16" s="1"/>
      <c r="V16" s="3"/>
      <c r="W16" s="5"/>
      <c r="X16" s="5"/>
      <c r="Y16" s="5"/>
      <c r="Z16" s="5"/>
    </row>
    <row r="17" spans="2:26" x14ac:dyDescent="0.25">
      <c r="B17" s="207"/>
      <c r="C17" s="15" t="s">
        <v>273</v>
      </c>
      <c r="D17" s="9" t="s">
        <v>274</v>
      </c>
      <c r="E17" s="100">
        <v>30</v>
      </c>
      <c r="F17" s="39">
        <v>50</v>
      </c>
      <c r="G17" s="19">
        <f>E17*0.7/100</f>
        <v>0.21</v>
      </c>
      <c r="H17" s="40">
        <f>F17*0.7/100</f>
        <v>0.35</v>
      </c>
      <c r="I17" s="19">
        <f>E17*0.1/100</f>
        <v>0.03</v>
      </c>
      <c r="J17" s="40">
        <f>F17*0.1/100</f>
        <v>0.05</v>
      </c>
      <c r="K17" s="19">
        <f>E17*1.9/100</f>
        <v>0.56999999999999995</v>
      </c>
      <c r="L17" s="40">
        <f>F17*1.9/100</f>
        <v>0.95</v>
      </c>
      <c r="M17" s="19">
        <f t="shared" ref="M17:N17" si="7">G17*4+I17*9+K17*4</f>
        <v>3.3899999999999997</v>
      </c>
      <c r="N17" s="37">
        <f t="shared" si="7"/>
        <v>5.6499999999999995</v>
      </c>
      <c r="O17" s="1"/>
      <c r="P17" s="3"/>
      <c r="Q17" s="5"/>
      <c r="R17" s="5"/>
      <c r="S17" s="5"/>
      <c r="T17" s="5"/>
      <c r="U17" s="1"/>
      <c r="V17" s="3"/>
      <c r="W17" s="5"/>
      <c r="X17" s="5"/>
      <c r="Y17" s="5"/>
      <c r="Z17" s="5"/>
    </row>
    <row r="18" spans="2:26" x14ac:dyDescent="0.25">
      <c r="B18" s="207"/>
      <c r="C18" s="104" t="s">
        <v>253</v>
      </c>
      <c r="D18" s="42" t="s">
        <v>254</v>
      </c>
      <c r="E18" s="100">
        <v>150</v>
      </c>
      <c r="F18" s="39">
        <v>180</v>
      </c>
      <c r="G18" s="19">
        <f>E18*2.6/250</f>
        <v>1.56</v>
      </c>
      <c r="H18" s="40">
        <f>F18*2.6/250</f>
        <v>1.8720000000000001</v>
      </c>
      <c r="I18" s="19">
        <f>E18*5.3/250</f>
        <v>3.18</v>
      </c>
      <c r="J18" s="40">
        <f>F18*5.3/250</f>
        <v>3.8159999999999998</v>
      </c>
      <c r="K18" s="19">
        <f>E18*14.3/250</f>
        <v>8.58</v>
      </c>
      <c r="L18" s="40">
        <f>F18*14.3/250</f>
        <v>10.295999999999999</v>
      </c>
      <c r="M18" s="19">
        <f t="shared" ref="M18:N21" si="8">G18*4+I18*9+K18*4</f>
        <v>69.180000000000007</v>
      </c>
      <c r="N18" s="37">
        <f t="shared" si="8"/>
        <v>83.015999999999991</v>
      </c>
      <c r="O18" s="1"/>
      <c r="P18" s="3"/>
      <c r="Q18" s="5"/>
      <c r="R18" s="5"/>
      <c r="S18" s="5"/>
      <c r="T18" s="5"/>
      <c r="U18" s="1"/>
      <c r="V18" s="3"/>
      <c r="W18" s="5"/>
      <c r="X18" s="5"/>
      <c r="Y18" s="5"/>
      <c r="Z18" s="5"/>
    </row>
    <row r="19" spans="2:26" x14ac:dyDescent="0.25">
      <c r="B19" s="207"/>
      <c r="C19" s="16" t="s">
        <v>31</v>
      </c>
      <c r="D19" s="6" t="s">
        <v>10</v>
      </c>
      <c r="E19" s="102">
        <v>120</v>
      </c>
      <c r="F19" s="28">
        <v>150</v>
      </c>
      <c r="G19" s="17">
        <f>E19*3.63/100</f>
        <v>4.3559999999999999</v>
      </c>
      <c r="H19" s="30">
        <f>F19*3.63/100</f>
        <v>5.4450000000000003</v>
      </c>
      <c r="I19" s="17">
        <f>E19*4.5/100</f>
        <v>5.4</v>
      </c>
      <c r="J19" s="30">
        <f>F19*4.5/100</f>
        <v>6.75</v>
      </c>
      <c r="K19" s="17">
        <f>E19*22.5/100</f>
        <v>27</v>
      </c>
      <c r="L19" s="30">
        <f>F19*22.5/100</f>
        <v>33.75</v>
      </c>
      <c r="M19" s="17">
        <f t="shared" si="8"/>
        <v>174.024</v>
      </c>
      <c r="N19" s="32">
        <f t="shared" si="8"/>
        <v>217.53</v>
      </c>
      <c r="O19" s="1"/>
      <c r="P19" s="3"/>
      <c r="Q19" s="5"/>
      <c r="R19" s="5"/>
      <c r="S19" s="5"/>
      <c r="T19" s="5"/>
      <c r="U19" s="1"/>
      <c r="V19" s="3"/>
      <c r="W19" s="5"/>
      <c r="X19" s="5"/>
      <c r="Y19" s="5"/>
      <c r="Z19" s="5"/>
    </row>
    <row r="20" spans="2:26" x14ac:dyDescent="0.25">
      <c r="B20" s="207"/>
      <c r="C20" s="104" t="s">
        <v>157</v>
      </c>
      <c r="D20" s="42" t="s">
        <v>158</v>
      </c>
      <c r="E20" s="102">
        <v>50</v>
      </c>
      <c r="F20" s="28">
        <v>70</v>
      </c>
      <c r="G20" s="17">
        <f>E20*15.9/100</f>
        <v>7.95</v>
      </c>
      <c r="H20" s="30">
        <f>F20*15.9/100</f>
        <v>11.13</v>
      </c>
      <c r="I20" s="17">
        <f>E20*14.4/100</f>
        <v>7.2</v>
      </c>
      <c r="J20" s="30">
        <f>F20*14.4/100</f>
        <v>10.08</v>
      </c>
      <c r="K20" s="17">
        <f>E20*16/100</f>
        <v>8</v>
      </c>
      <c r="L20" s="30">
        <f>F20*16/100</f>
        <v>11.2</v>
      </c>
      <c r="M20" s="17">
        <f t="shared" si="8"/>
        <v>128.6</v>
      </c>
      <c r="N20" s="32">
        <f t="shared" si="8"/>
        <v>180.04000000000002</v>
      </c>
      <c r="O20" s="1"/>
      <c r="P20" s="3"/>
      <c r="Q20" s="5"/>
      <c r="R20" s="5"/>
      <c r="S20" s="5"/>
      <c r="T20" s="5"/>
      <c r="U20" s="1"/>
      <c r="V20" s="3"/>
      <c r="W20" s="5"/>
      <c r="X20" s="5"/>
      <c r="Y20" s="5"/>
      <c r="Z20" s="5"/>
    </row>
    <row r="21" spans="2:26" x14ac:dyDescent="0.25">
      <c r="B21" s="207"/>
      <c r="C21" s="15" t="s">
        <v>48</v>
      </c>
      <c r="D21" s="9" t="s">
        <v>49</v>
      </c>
      <c r="E21" s="102">
        <v>150</v>
      </c>
      <c r="F21" s="28">
        <v>180</v>
      </c>
      <c r="G21" s="17">
        <f>E21*0.6/200</f>
        <v>0.45</v>
      </c>
      <c r="H21" s="30">
        <f>F21*0.6/200</f>
        <v>0.54</v>
      </c>
      <c r="I21" s="17">
        <f t="shared" ref="I21:J21" si="9">E21*0.1/200</f>
        <v>7.4999999999999997E-2</v>
      </c>
      <c r="J21" s="30">
        <f t="shared" si="9"/>
        <v>0.09</v>
      </c>
      <c r="K21" s="17">
        <f>E21*20.1/200</f>
        <v>15.074999999999999</v>
      </c>
      <c r="L21" s="30">
        <f>F21*20.1/200</f>
        <v>18.090000000000003</v>
      </c>
      <c r="M21" s="17">
        <f t="shared" si="8"/>
        <v>62.774999999999999</v>
      </c>
      <c r="N21" s="32">
        <f t="shared" si="8"/>
        <v>75.330000000000013</v>
      </c>
      <c r="O21" s="1"/>
      <c r="P21" s="3"/>
      <c r="Q21" s="5"/>
      <c r="R21" s="5"/>
      <c r="S21" s="5"/>
      <c r="T21" s="5"/>
      <c r="U21" s="1"/>
      <c r="V21" s="3"/>
      <c r="W21" s="5"/>
      <c r="X21" s="5"/>
      <c r="Y21" s="5"/>
      <c r="Z21" s="5"/>
    </row>
    <row r="22" spans="2:26" ht="15" customHeight="1" x14ac:dyDescent="0.25">
      <c r="B22" s="207"/>
      <c r="C22" s="16" t="s">
        <v>139</v>
      </c>
      <c r="D22" s="6" t="s">
        <v>22</v>
      </c>
      <c r="E22" s="65">
        <v>25</v>
      </c>
      <c r="F22" s="62">
        <v>30</v>
      </c>
      <c r="G22" s="17">
        <f>E22*8/100</f>
        <v>2</v>
      </c>
      <c r="H22" s="30">
        <f>F22*8/100</f>
        <v>2.4</v>
      </c>
      <c r="I22" s="17">
        <f>E22*1.5/100</f>
        <v>0.375</v>
      </c>
      <c r="J22" s="30">
        <f>F22*1.5/100</f>
        <v>0.45</v>
      </c>
      <c r="K22" s="17">
        <f>E22*40.1/100</f>
        <v>10.025</v>
      </c>
      <c r="L22" s="30">
        <f>F22*40.1/100</f>
        <v>12.03</v>
      </c>
      <c r="M22" s="17">
        <f t="shared" ref="M22:N23" si="10">G22*4+I22*9+K22*4</f>
        <v>51.475000000000001</v>
      </c>
      <c r="N22" s="32">
        <f t="shared" si="10"/>
        <v>61.769999999999996</v>
      </c>
    </row>
    <row r="23" spans="2:26" x14ac:dyDescent="0.25">
      <c r="B23" s="207"/>
      <c r="C23" s="16" t="s">
        <v>137</v>
      </c>
      <c r="D23" s="6" t="s">
        <v>138</v>
      </c>
      <c r="E23" s="65">
        <v>25</v>
      </c>
      <c r="F23" s="62">
        <v>30</v>
      </c>
      <c r="G23" s="17">
        <f>E23*7.6/100</f>
        <v>1.9</v>
      </c>
      <c r="H23" s="30">
        <f>F23*7.6/100</f>
        <v>2.2799999999999998</v>
      </c>
      <c r="I23" s="17">
        <f>E23*0.8/100</f>
        <v>0.2</v>
      </c>
      <c r="J23" s="30">
        <f>F23*0.8/100</f>
        <v>0.24</v>
      </c>
      <c r="K23" s="17">
        <f>E23*49.2/100</f>
        <v>12.3</v>
      </c>
      <c r="L23" s="30">
        <f>F23*49.2/100</f>
        <v>14.76</v>
      </c>
      <c r="M23" s="17">
        <f t="shared" si="10"/>
        <v>58.6</v>
      </c>
      <c r="N23" s="32">
        <f t="shared" si="10"/>
        <v>70.319999999999993</v>
      </c>
      <c r="Q23" s="12" t="s">
        <v>23</v>
      </c>
    </row>
    <row r="24" spans="2:26" x14ac:dyDescent="0.25">
      <c r="B24" s="207"/>
      <c r="C24" s="16"/>
      <c r="D24" s="4" t="s">
        <v>14</v>
      </c>
      <c r="E24" s="21">
        <f t="shared" ref="E24:N24" si="11">SUM(E17:E23)</f>
        <v>550</v>
      </c>
      <c r="F24" s="35">
        <f t="shared" si="11"/>
        <v>690</v>
      </c>
      <c r="G24" s="7">
        <f t="shared" si="11"/>
        <v>18.425999999999998</v>
      </c>
      <c r="H24" s="31">
        <f t="shared" si="11"/>
        <v>24.016999999999999</v>
      </c>
      <c r="I24" s="7">
        <f t="shared" si="11"/>
        <v>16.459999999999997</v>
      </c>
      <c r="J24" s="31">
        <f t="shared" si="11"/>
        <v>21.475999999999996</v>
      </c>
      <c r="K24" s="7">
        <f t="shared" si="11"/>
        <v>81.55</v>
      </c>
      <c r="L24" s="31">
        <f t="shared" si="11"/>
        <v>101.07600000000001</v>
      </c>
      <c r="M24" s="7">
        <f t="shared" si="11"/>
        <v>548.04399999999998</v>
      </c>
      <c r="N24" s="33">
        <f t="shared" si="11"/>
        <v>693.65599999999995</v>
      </c>
    </row>
    <row r="25" spans="2:26" x14ac:dyDescent="0.25">
      <c r="B25" s="207"/>
      <c r="C25" s="191" t="s">
        <v>84</v>
      </c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3"/>
    </row>
    <row r="26" spans="2:26" ht="15" customHeight="1" x14ac:dyDescent="0.25">
      <c r="B26" s="207"/>
      <c r="C26" s="15" t="s">
        <v>255</v>
      </c>
      <c r="D26" s="9" t="s">
        <v>256</v>
      </c>
      <c r="E26" s="102">
        <v>70</v>
      </c>
      <c r="F26" s="28">
        <v>70</v>
      </c>
      <c r="G26" s="17">
        <f>E26*4.8/75</f>
        <v>4.4800000000000004</v>
      </c>
      <c r="H26" s="30">
        <f>F26*4.8/75</f>
        <v>4.4800000000000004</v>
      </c>
      <c r="I26" s="17">
        <f>E26*8.5/75</f>
        <v>7.9333333333333336</v>
      </c>
      <c r="J26" s="30">
        <f>F26*8.5/75</f>
        <v>7.9333333333333336</v>
      </c>
      <c r="K26" s="17">
        <f>E26*48.4/75</f>
        <v>45.173333333333332</v>
      </c>
      <c r="L26" s="30">
        <f>F26*48.4/75</f>
        <v>45.173333333333332</v>
      </c>
      <c r="M26" s="17">
        <f t="shared" ref="M26:N27" si="12">G26*4+I26*9+K26*4</f>
        <v>270.01333333333332</v>
      </c>
      <c r="N26" s="32">
        <f t="shared" si="12"/>
        <v>270.01333333333332</v>
      </c>
    </row>
    <row r="27" spans="2:26" ht="15" customHeight="1" x14ac:dyDescent="0.25">
      <c r="B27" s="207"/>
      <c r="C27" s="16" t="s">
        <v>257</v>
      </c>
      <c r="D27" s="6" t="s">
        <v>258</v>
      </c>
      <c r="E27" s="102">
        <v>150</v>
      </c>
      <c r="F27" s="28">
        <v>180</v>
      </c>
      <c r="G27" s="17">
        <f>E27*1.6/200</f>
        <v>1.2</v>
      </c>
      <c r="H27" s="30">
        <f>F27*1.6/200</f>
        <v>1.44</v>
      </c>
      <c r="I27" s="17">
        <f>E27*1.3/200</f>
        <v>0.97499999999999998</v>
      </c>
      <c r="J27" s="30">
        <f>F27*1.3/200</f>
        <v>1.17</v>
      </c>
      <c r="K27" s="17">
        <f>E27*11.5/200</f>
        <v>8.625</v>
      </c>
      <c r="L27" s="30">
        <f>F27*11.5/200</f>
        <v>10.35</v>
      </c>
      <c r="M27" s="17">
        <f t="shared" si="12"/>
        <v>48.075000000000003</v>
      </c>
      <c r="N27" s="32">
        <f t="shared" si="12"/>
        <v>57.69</v>
      </c>
    </row>
    <row r="28" spans="2:26" x14ac:dyDescent="0.25">
      <c r="B28" s="207"/>
      <c r="C28" s="44"/>
      <c r="D28" s="51" t="s">
        <v>81</v>
      </c>
      <c r="E28" s="52">
        <f t="shared" ref="E28:N28" si="13">SUM(E26:E27)</f>
        <v>220</v>
      </c>
      <c r="F28" s="53">
        <f t="shared" si="13"/>
        <v>250</v>
      </c>
      <c r="G28" s="54">
        <f t="shared" si="13"/>
        <v>5.6800000000000006</v>
      </c>
      <c r="H28" s="55">
        <f t="shared" si="13"/>
        <v>5.92</v>
      </c>
      <c r="I28" s="54">
        <f t="shared" si="13"/>
        <v>8.9083333333333332</v>
      </c>
      <c r="J28" s="55">
        <f t="shared" si="13"/>
        <v>9.1033333333333335</v>
      </c>
      <c r="K28" s="54">
        <f t="shared" si="13"/>
        <v>53.798333333333332</v>
      </c>
      <c r="L28" s="55">
        <f t="shared" si="13"/>
        <v>55.523333333333333</v>
      </c>
      <c r="M28" s="54">
        <f t="shared" si="13"/>
        <v>318.08833333333331</v>
      </c>
      <c r="N28" s="56">
        <f t="shared" si="13"/>
        <v>327.70333333333332</v>
      </c>
    </row>
    <row r="29" spans="2:26" ht="16.5" customHeight="1" thickBot="1" x14ac:dyDescent="0.3">
      <c r="B29" s="208"/>
      <c r="C29" s="22"/>
      <c r="D29" s="13" t="s">
        <v>12</v>
      </c>
      <c r="E29" s="18"/>
      <c r="F29" s="45"/>
      <c r="G29" s="14">
        <f t="shared" ref="G29:N29" si="14">G28+G24+G15+G12</f>
        <v>34.033000000000001</v>
      </c>
      <c r="H29" s="36">
        <f t="shared" si="14"/>
        <v>41.295000000000002</v>
      </c>
      <c r="I29" s="14">
        <f t="shared" si="14"/>
        <v>33.771333333333331</v>
      </c>
      <c r="J29" s="36">
        <f t="shared" si="14"/>
        <v>40.141333333333336</v>
      </c>
      <c r="K29" s="14">
        <f t="shared" si="14"/>
        <v>198.60633333333334</v>
      </c>
      <c r="L29" s="36">
        <f t="shared" si="14"/>
        <v>227.29133333333334</v>
      </c>
      <c r="M29" s="14">
        <f t="shared" si="14"/>
        <v>1234.4993333333332</v>
      </c>
      <c r="N29" s="38">
        <f t="shared" si="14"/>
        <v>1435.6173333333334</v>
      </c>
    </row>
    <row r="32" spans="2:26" x14ac:dyDescent="0.25">
      <c r="F32" s="1"/>
    </row>
    <row r="40" spans="10:10" x14ac:dyDescent="0.25">
      <c r="J40" s="1"/>
    </row>
  </sheetData>
  <mergeCells count="15">
    <mergeCell ref="B7:B29"/>
    <mergeCell ref="C16:N16"/>
    <mergeCell ref="C25:N25"/>
    <mergeCell ref="C13:N13"/>
    <mergeCell ref="B3:E3"/>
    <mergeCell ref="B4:B6"/>
    <mergeCell ref="C4:C6"/>
    <mergeCell ref="D4:D6"/>
    <mergeCell ref="E4:F5"/>
    <mergeCell ref="G4:L4"/>
    <mergeCell ref="C7:N7"/>
    <mergeCell ref="K5:L5"/>
    <mergeCell ref="I5:J5"/>
    <mergeCell ref="G5:H5"/>
    <mergeCell ref="M4:N5"/>
  </mergeCells>
  <pageMargins left="0.7" right="0.7" top="0.75" bottom="0.75" header="0.3" footer="0.3"/>
  <pageSetup paperSize="9" scale="98" fitToWidth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B2:W50"/>
  <sheetViews>
    <sheetView zoomScale="90" zoomScaleNormal="90" zoomScalePageLayoutView="80" workbookViewId="0">
      <selection activeCell="F17" sqref="F17"/>
    </sheetView>
  </sheetViews>
  <sheetFormatPr defaultColWidth="9.140625" defaultRowHeight="15" x14ac:dyDescent="0.25"/>
  <cols>
    <col min="1" max="1" width="8.7109375" style="12" customWidth="1"/>
    <col min="2" max="2" width="2.7109375" style="12" customWidth="1"/>
    <col min="3" max="3" width="10.5703125" style="12" customWidth="1"/>
    <col min="4" max="4" width="39.28515625" style="12" customWidth="1"/>
    <col min="5" max="5" width="7.28515625" style="12" customWidth="1"/>
    <col min="6" max="6" width="9.5703125" style="12" customWidth="1"/>
    <col min="7" max="7" width="6.7109375" style="12" customWidth="1"/>
    <col min="8" max="8" width="8.7109375" style="12" customWidth="1"/>
    <col min="9" max="9" width="6.42578125" style="12" customWidth="1"/>
    <col min="10" max="10" width="6.5703125" style="12" customWidth="1"/>
    <col min="11" max="11" width="7.5703125" style="12" customWidth="1"/>
    <col min="12" max="12" width="7.42578125" style="12" customWidth="1"/>
    <col min="13" max="13" width="8.5703125" style="12" customWidth="1"/>
    <col min="14" max="14" width="10.140625" style="12" customWidth="1"/>
    <col min="15" max="15" width="9.28515625" style="12" customWidth="1"/>
    <col min="16" max="17" width="9.140625" style="12"/>
    <col min="18" max="18" width="19.7109375" style="12" customWidth="1"/>
    <col min="19" max="19" width="7.7109375" style="12" customWidth="1"/>
    <col min="20" max="20" width="9.140625" style="12"/>
    <col min="21" max="21" width="7.7109375" style="12" customWidth="1"/>
    <col min="22" max="16384" width="9.140625" style="12"/>
  </cols>
  <sheetData>
    <row r="2" spans="2:23" ht="16.5" customHeight="1" thickBot="1" x14ac:dyDescent="0.3">
      <c r="B2" s="172" t="s">
        <v>50</v>
      </c>
      <c r="C2" s="172"/>
      <c r="D2" s="172"/>
      <c r="E2" s="172"/>
      <c r="O2" s="2"/>
      <c r="P2" s="1"/>
      <c r="Q2" s="1"/>
      <c r="R2" s="2"/>
      <c r="S2" s="2"/>
      <c r="T2" s="1"/>
      <c r="U2" s="1"/>
      <c r="V2" s="1"/>
      <c r="W2" s="1"/>
    </row>
    <row r="3" spans="2:23" ht="15" customHeight="1" x14ac:dyDescent="0.25">
      <c r="B3" s="209" t="s">
        <v>39</v>
      </c>
      <c r="C3" s="181" t="s">
        <v>0</v>
      </c>
      <c r="D3" s="184" t="s">
        <v>1</v>
      </c>
      <c r="E3" s="212" t="s">
        <v>6</v>
      </c>
      <c r="F3" s="213"/>
      <c r="G3" s="216" t="s">
        <v>7</v>
      </c>
      <c r="H3" s="217"/>
      <c r="I3" s="217"/>
      <c r="J3" s="217"/>
      <c r="K3" s="217"/>
      <c r="L3" s="218"/>
      <c r="M3" s="223" t="s">
        <v>5</v>
      </c>
      <c r="N3" s="224"/>
      <c r="O3" s="1"/>
      <c r="P3" s="5"/>
      <c r="Q3" s="5"/>
      <c r="R3" s="1"/>
      <c r="S3" s="3"/>
      <c r="T3" s="5"/>
      <c r="U3" s="5"/>
      <c r="V3" s="5"/>
      <c r="W3" s="5"/>
    </row>
    <row r="4" spans="2:23" ht="15" customHeight="1" x14ac:dyDescent="0.25">
      <c r="B4" s="210"/>
      <c r="C4" s="182"/>
      <c r="D4" s="185"/>
      <c r="E4" s="214"/>
      <c r="F4" s="215"/>
      <c r="G4" s="219" t="s">
        <v>3</v>
      </c>
      <c r="H4" s="220"/>
      <c r="I4" s="221" t="s">
        <v>2</v>
      </c>
      <c r="J4" s="222"/>
      <c r="K4" s="219" t="s">
        <v>4</v>
      </c>
      <c r="L4" s="220"/>
      <c r="M4" s="225"/>
      <c r="N4" s="226"/>
      <c r="O4" s="1"/>
      <c r="P4" s="5"/>
      <c r="Q4" s="5"/>
      <c r="R4" s="1"/>
      <c r="S4" s="3"/>
      <c r="T4" s="5"/>
      <c r="U4" s="5"/>
      <c r="V4" s="5"/>
      <c r="W4" s="5"/>
    </row>
    <row r="5" spans="2:23" ht="27.75" customHeight="1" thickBot="1" x14ac:dyDescent="0.3">
      <c r="B5" s="211"/>
      <c r="C5" s="183"/>
      <c r="D5" s="186"/>
      <c r="E5" s="24" t="s">
        <v>15</v>
      </c>
      <c r="F5" s="25" t="s">
        <v>42</v>
      </c>
      <c r="G5" s="24" t="s">
        <v>15</v>
      </c>
      <c r="H5" s="25" t="s">
        <v>42</v>
      </c>
      <c r="I5" s="24" t="s">
        <v>15</v>
      </c>
      <c r="J5" s="25" t="s">
        <v>42</v>
      </c>
      <c r="K5" s="24" t="s">
        <v>15</v>
      </c>
      <c r="L5" s="25" t="s">
        <v>42</v>
      </c>
      <c r="M5" s="24" t="s">
        <v>15</v>
      </c>
      <c r="N5" s="26" t="s">
        <v>42</v>
      </c>
      <c r="O5" s="1"/>
      <c r="P5" s="5"/>
      <c r="Q5" s="5"/>
      <c r="R5" s="1"/>
      <c r="S5" s="3"/>
      <c r="T5" s="5"/>
      <c r="U5" s="5"/>
      <c r="V5" s="5"/>
      <c r="W5" s="5"/>
    </row>
    <row r="6" spans="2:23" ht="12.75" customHeight="1" x14ac:dyDescent="0.25">
      <c r="B6" s="194" t="s">
        <v>47</v>
      </c>
      <c r="C6" s="175" t="s">
        <v>8</v>
      </c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7"/>
    </row>
    <row r="7" spans="2:23" ht="16.5" customHeight="1" x14ac:dyDescent="0.25">
      <c r="B7" s="195"/>
      <c r="C7" s="15" t="s">
        <v>218</v>
      </c>
      <c r="D7" s="8" t="s">
        <v>219</v>
      </c>
      <c r="E7" s="102">
        <v>140</v>
      </c>
      <c r="F7" s="27">
        <v>160</v>
      </c>
      <c r="G7" s="17">
        <f>E7*3.03/100</f>
        <v>4.242</v>
      </c>
      <c r="H7" s="30">
        <f>F7*3.03/100</f>
        <v>4.8479999999999999</v>
      </c>
      <c r="I7" s="17">
        <f>E7*3.21/100</f>
        <v>4.4939999999999998</v>
      </c>
      <c r="J7" s="30">
        <f>F7*3.21/100</f>
        <v>5.1360000000000001</v>
      </c>
      <c r="K7" s="17">
        <f>E7*15.23/100</f>
        <v>21.322000000000003</v>
      </c>
      <c r="L7" s="30">
        <f>F7*15.23/100</f>
        <v>24.368000000000002</v>
      </c>
      <c r="M7" s="17">
        <f t="shared" ref="M7:N7" si="0">G7*4+I7*9+K7*4</f>
        <v>142.702</v>
      </c>
      <c r="N7" s="32">
        <f t="shared" si="0"/>
        <v>163.08800000000002</v>
      </c>
    </row>
    <row r="8" spans="2:23" ht="15" customHeight="1" x14ac:dyDescent="0.25">
      <c r="B8" s="195"/>
      <c r="C8" s="16" t="s">
        <v>168</v>
      </c>
      <c r="D8" s="93" t="s">
        <v>169</v>
      </c>
      <c r="E8" s="65">
        <v>25</v>
      </c>
      <c r="F8" s="62">
        <v>30</v>
      </c>
      <c r="G8" s="94">
        <f>E8*7.5/100</f>
        <v>1.875</v>
      </c>
      <c r="H8" s="40">
        <f>F8*7.5/100</f>
        <v>2.25</v>
      </c>
      <c r="I8" s="95">
        <f>E8*2.9/100</f>
        <v>0.72499999999999998</v>
      </c>
      <c r="J8" s="30">
        <f>F8*2.9/100</f>
        <v>0.87</v>
      </c>
      <c r="K8" s="95">
        <f>E8*51.4/100</f>
        <v>12.85</v>
      </c>
      <c r="L8" s="30">
        <f>F8*51.4/100</f>
        <v>15.42</v>
      </c>
      <c r="M8" s="95">
        <f t="shared" ref="M8:N11" si="1">G8*4+I8*9+K8*4</f>
        <v>65.424999999999997</v>
      </c>
      <c r="N8" s="32">
        <f t="shared" si="1"/>
        <v>78.509999999999991</v>
      </c>
    </row>
    <row r="9" spans="2:23" ht="15" customHeight="1" x14ac:dyDescent="0.25">
      <c r="B9" s="195"/>
      <c r="C9" s="48" t="s">
        <v>145</v>
      </c>
      <c r="D9" s="49" t="s">
        <v>146</v>
      </c>
      <c r="E9" s="98">
        <v>8</v>
      </c>
      <c r="F9" s="50">
        <v>10</v>
      </c>
      <c r="G9" s="17">
        <f>E9*0.8/100</f>
        <v>6.4000000000000001E-2</v>
      </c>
      <c r="H9" s="30">
        <f>F9*0.8/100</f>
        <v>0.08</v>
      </c>
      <c r="I9" s="17">
        <f>E9*72.5/100</f>
        <v>5.8</v>
      </c>
      <c r="J9" s="30">
        <f>F9*72.5/100</f>
        <v>7.25</v>
      </c>
      <c r="K9" s="17">
        <f>E9*1.3/100</f>
        <v>0.10400000000000001</v>
      </c>
      <c r="L9" s="30">
        <f>F9*1.3/100</f>
        <v>0.13</v>
      </c>
      <c r="M9" s="17">
        <f t="shared" si="1"/>
        <v>52.871999999999993</v>
      </c>
      <c r="N9" s="32">
        <f t="shared" si="1"/>
        <v>66.089999999999989</v>
      </c>
    </row>
    <row r="10" spans="2:23" ht="15.75" customHeight="1" x14ac:dyDescent="0.25">
      <c r="B10" s="195"/>
      <c r="C10" s="15" t="s">
        <v>45</v>
      </c>
      <c r="D10" s="9" t="s">
        <v>16</v>
      </c>
      <c r="E10" s="98">
        <v>180</v>
      </c>
      <c r="F10" s="28">
        <v>200</v>
      </c>
      <c r="G10" s="17">
        <f>E10*0.2/200</f>
        <v>0.18</v>
      </c>
      <c r="H10" s="30">
        <f>F10*0.2/200</f>
        <v>0.2</v>
      </c>
      <c r="I10" s="17">
        <f t="shared" ref="I10:J10" si="2">E10*0.1/200</f>
        <v>0.09</v>
      </c>
      <c r="J10" s="30">
        <f t="shared" si="2"/>
        <v>0.1</v>
      </c>
      <c r="K10" s="17">
        <f>E10*9.3/200</f>
        <v>8.370000000000001</v>
      </c>
      <c r="L10" s="30">
        <f>F10*9.3/200</f>
        <v>9.3000000000000007</v>
      </c>
      <c r="M10" s="17">
        <f t="shared" si="1"/>
        <v>35.010000000000005</v>
      </c>
      <c r="N10" s="32">
        <f t="shared" si="1"/>
        <v>38.900000000000006</v>
      </c>
    </row>
    <row r="11" spans="2:23" ht="15" customHeight="1" x14ac:dyDescent="0.25">
      <c r="B11" s="195"/>
      <c r="C11" s="23"/>
      <c r="D11" s="4" t="s">
        <v>13</v>
      </c>
      <c r="E11" s="21">
        <f>SUM(E7:E10)</f>
        <v>353</v>
      </c>
      <c r="F11" s="29">
        <f t="shared" ref="F11" si="3">SUM(F7:F10)</f>
        <v>400</v>
      </c>
      <c r="G11" s="7">
        <f>SUM(G7:G10)</f>
        <v>6.3609999999999998</v>
      </c>
      <c r="H11" s="31">
        <f t="shared" ref="H11:K11" si="4">SUM(H7:H10)</f>
        <v>7.3780000000000001</v>
      </c>
      <c r="I11" s="7">
        <f t="shared" si="4"/>
        <v>11.108999999999998</v>
      </c>
      <c r="J11" s="31">
        <f t="shared" si="4"/>
        <v>13.356</v>
      </c>
      <c r="K11" s="7">
        <f t="shared" si="4"/>
        <v>42.646000000000001</v>
      </c>
      <c r="L11" s="31">
        <f>SUM(L7:L10)</f>
        <v>49.218000000000004</v>
      </c>
      <c r="M11" s="7">
        <f>G11*4+I11*9+K11*4</f>
        <v>296.00900000000001</v>
      </c>
      <c r="N11" s="33">
        <f t="shared" si="1"/>
        <v>346.58800000000002</v>
      </c>
    </row>
    <row r="12" spans="2:23" x14ac:dyDescent="0.25">
      <c r="B12" s="195"/>
      <c r="C12" s="178" t="s">
        <v>79</v>
      </c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80"/>
    </row>
    <row r="13" spans="2:23" ht="15" customHeight="1" x14ac:dyDescent="0.25">
      <c r="B13" s="195"/>
      <c r="C13" s="15" t="s">
        <v>142</v>
      </c>
      <c r="D13" s="9" t="s">
        <v>210</v>
      </c>
      <c r="E13" s="102">
        <v>100</v>
      </c>
      <c r="F13" s="27">
        <v>100</v>
      </c>
      <c r="G13" s="17">
        <f>E13*3/100</f>
        <v>3</v>
      </c>
      <c r="H13" s="30">
        <f>F13*3/100</f>
        <v>3</v>
      </c>
      <c r="I13" s="17">
        <f>E13*2.5/100</f>
        <v>2.5</v>
      </c>
      <c r="J13" s="30">
        <f>F13*2.5/100</f>
        <v>2.5</v>
      </c>
      <c r="K13" s="17">
        <f>E13*11/100</f>
        <v>11</v>
      </c>
      <c r="L13" s="30">
        <f>F13*11/100</f>
        <v>11</v>
      </c>
      <c r="M13" s="17">
        <f t="shared" ref="M13:N13" si="5">G13*4+I13*9+K13*4</f>
        <v>78.5</v>
      </c>
      <c r="N13" s="32">
        <f t="shared" si="5"/>
        <v>78.5</v>
      </c>
    </row>
    <row r="14" spans="2:23" x14ac:dyDescent="0.25">
      <c r="B14" s="195"/>
      <c r="C14" s="15"/>
      <c r="D14" s="4" t="s">
        <v>80</v>
      </c>
      <c r="E14" s="21">
        <f t="shared" ref="E14" si="6">SUM(E13)</f>
        <v>100</v>
      </c>
      <c r="F14" s="29">
        <f t="shared" ref="F14:L14" si="7">SUM(F13)</f>
        <v>100</v>
      </c>
      <c r="G14" s="7">
        <f t="shared" si="7"/>
        <v>3</v>
      </c>
      <c r="H14" s="31">
        <f t="shared" si="7"/>
        <v>3</v>
      </c>
      <c r="I14" s="7">
        <f t="shared" si="7"/>
        <v>2.5</v>
      </c>
      <c r="J14" s="31">
        <f t="shared" si="7"/>
        <v>2.5</v>
      </c>
      <c r="K14" s="7">
        <f t="shared" si="7"/>
        <v>11</v>
      </c>
      <c r="L14" s="31">
        <f t="shared" si="7"/>
        <v>11</v>
      </c>
      <c r="M14" s="7">
        <f>G14*4+I14*9+K14*4</f>
        <v>78.5</v>
      </c>
      <c r="N14" s="33">
        <f>H14*4+J14*9+L14*4</f>
        <v>78.5</v>
      </c>
    </row>
    <row r="15" spans="2:23" x14ac:dyDescent="0.25">
      <c r="B15" s="195"/>
      <c r="C15" s="178" t="s">
        <v>9</v>
      </c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80"/>
    </row>
    <row r="16" spans="2:23" x14ac:dyDescent="0.25">
      <c r="B16" s="195"/>
      <c r="C16" s="57" t="s">
        <v>277</v>
      </c>
      <c r="D16" s="9" t="s">
        <v>278</v>
      </c>
      <c r="E16" s="107">
        <v>30</v>
      </c>
      <c r="F16" s="34">
        <v>50</v>
      </c>
      <c r="G16" s="17">
        <f>E16*1/100</f>
        <v>0.3</v>
      </c>
      <c r="H16" s="30">
        <f>F16*1/100</f>
        <v>0.5</v>
      </c>
      <c r="I16" s="17">
        <f>E16*6/100</f>
        <v>1.8</v>
      </c>
      <c r="J16" s="30">
        <f>F16*6/100</f>
        <v>3</v>
      </c>
      <c r="K16" s="17">
        <f>E16*11/100</f>
        <v>3.3</v>
      </c>
      <c r="L16" s="30">
        <f>F16*11/100</f>
        <v>5.5</v>
      </c>
      <c r="M16" s="19">
        <f t="shared" ref="M16:N16" si="8">G16*4+I16*9+K16*4</f>
        <v>30.599999999999998</v>
      </c>
      <c r="N16" s="37">
        <f t="shared" si="8"/>
        <v>51</v>
      </c>
    </row>
    <row r="17" spans="2:15" x14ac:dyDescent="0.25">
      <c r="B17" s="195"/>
      <c r="C17" s="15" t="s">
        <v>72</v>
      </c>
      <c r="D17" s="9" t="s">
        <v>73</v>
      </c>
      <c r="E17" s="100">
        <v>150</v>
      </c>
      <c r="F17" s="39">
        <v>180</v>
      </c>
      <c r="G17" s="19">
        <f>E17*13.5/250</f>
        <v>8.1</v>
      </c>
      <c r="H17" s="40">
        <f>F17*13.5/250</f>
        <v>9.7200000000000006</v>
      </c>
      <c r="I17" s="19">
        <f>E17*3.6/250</f>
        <v>2.16</v>
      </c>
      <c r="J17" s="40">
        <f>F17*3.6/250</f>
        <v>2.5920000000000001</v>
      </c>
      <c r="K17" s="19">
        <f>E17*12.5/250</f>
        <v>7.5</v>
      </c>
      <c r="L17" s="40">
        <f>F17*12.5/250</f>
        <v>9</v>
      </c>
      <c r="M17" s="19">
        <f t="shared" ref="M17:N19" si="9">G17*4+I17*9+K17*4</f>
        <v>81.84</v>
      </c>
      <c r="N17" s="37">
        <f t="shared" ref="N17" si="10">H17*4+J17*9+L17*4</f>
        <v>98.207999999999998</v>
      </c>
    </row>
    <row r="18" spans="2:15" x14ac:dyDescent="0.25">
      <c r="B18" s="195"/>
      <c r="C18" s="15" t="s">
        <v>19</v>
      </c>
      <c r="D18" s="9" t="s">
        <v>20</v>
      </c>
      <c r="E18" s="102">
        <v>120</v>
      </c>
      <c r="F18" s="28">
        <v>150</v>
      </c>
      <c r="G18" s="17">
        <f>E18*2.1/100</f>
        <v>2.52</v>
      </c>
      <c r="H18" s="30">
        <f>F18*2.1/100</f>
        <v>3.15</v>
      </c>
      <c r="I18" s="17">
        <f>E18*3.5/100</f>
        <v>4.2</v>
      </c>
      <c r="J18" s="30">
        <f>F18*3.5/100</f>
        <v>5.25</v>
      </c>
      <c r="K18" s="17">
        <f>E18*14.6/100</f>
        <v>17.52</v>
      </c>
      <c r="L18" s="30">
        <f>F18*14.6/100</f>
        <v>21.9</v>
      </c>
      <c r="M18" s="17">
        <f t="shared" si="9"/>
        <v>117.96000000000001</v>
      </c>
      <c r="N18" s="32">
        <f t="shared" si="9"/>
        <v>147.44999999999999</v>
      </c>
    </row>
    <row r="19" spans="2:15" x14ac:dyDescent="0.25">
      <c r="B19" s="195"/>
      <c r="C19" s="15" t="s">
        <v>94</v>
      </c>
      <c r="D19" s="9" t="s">
        <v>95</v>
      </c>
      <c r="E19" s="102">
        <v>50</v>
      </c>
      <c r="F19" s="28">
        <v>70</v>
      </c>
      <c r="G19" s="17">
        <f>E19*13.5/100</f>
        <v>6.75</v>
      </c>
      <c r="H19" s="30">
        <f>F19*13.5/100</f>
        <v>9.4499999999999993</v>
      </c>
      <c r="I19" s="17">
        <f>E19*21/100</f>
        <v>10.5</v>
      </c>
      <c r="J19" s="30">
        <f>F19*21/100</f>
        <v>14.7</v>
      </c>
      <c r="K19" s="17">
        <f>E19*9.9/100</f>
        <v>4.95</v>
      </c>
      <c r="L19" s="30">
        <f>F19*9.9/100</f>
        <v>6.93</v>
      </c>
      <c r="M19" s="17">
        <f t="shared" si="9"/>
        <v>141.30000000000001</v>
      </c>
      <c r="N19" s="32">
        <f t="shared" si="9"/>
        <v>197.81999999999996</v>
      </c>
    </row>
    <row r="20" spans="2:15" x14ac:dyDescent="0.25">
      <c r="B20" s="195"/>
      <c r="C20" s="15" t="s">
        <v>48</v>
      </c>
      <c r="D20" s="9" t="s">
        <v>49</v>
      </c>
      <c r="E20" s="98">
        <v>150</v>
      </c>
      <c r="F20" s="28">
        <v>180</v>
      </c>
      <c r="G20" s="17">
        <f>E20*0.6/200</f>
        <v>0.45</v>
      </c>
      <c r="H20" s="30">
        <f>F20*0.6/200</f>
        <v>0.54</v>
      </c>
      <c r="I20" s="17">
        <f>E20*0.1/200</f>
        <v>7.4999999999999997E-2</v>
      </c>
      <c r="J20" s="30">
        <f>F20*0.1/200</f>
        <v>0.09</v>
      </c>
      <c r="K20" s="17">
        <f>E20*20.1/200</f>
        <v>15.074999999999999</v>
      </c>
      <c r="L20" s="30">
        <f>F20*20.1/200</f>
        <v>18.090000000000003</v>
      </c>
      <c r="M20" s="17">
        <f t="shared" ref="M20:N22" si="11">G20*4+I20*9+K20*4</f>
        <v>62.774999999999999</v>
      </c>
      <c r="N20" s="32">
        <f t="shared" si="11"/>
        <v>75.330000000000013</v>
      </c>
    </row>
    <row r="21" spans="2:15" x14ac:dyDescent="0.25">
      <c r="B21" s="195"/>
      <c r="C21" s="16" t="s">
        <v>139</v>
      </c>
      <c r="D21" s="6" t="s">
        <v>22</v>
      </c>
      <c r="E21" s="65">
        <v>25</v>
      </c>
      <c r="F21" s="62">
        <v>30</v>
      </c>
      <c r="G21" s="17">
        <f>E21*8/100</f>
        <v>2</v>
      </c>
      <c r="H21" s="30">
        <f>F21*8/100</f>
        <v>2.4</v>
      </c>
      <c r="I21" s="17">
        <f>E21*1.5/100</f>
        <v>0.375</v>
      </c>
      <c r="J21" s="30">
        <f>F21*1.5/100</f>
        <v>0.45</v>
      </c>
      <c r="K21" s="17">
        <f>E21*40.1/100</f>
        <v>10.025</v>
      </c>
      <c r="L21" s="30">
        <f>F21*40.1/100</f>
        <v>12.03</v>
      </c>
      <c r="M21" s="17">
        <f t="shared" si="11"/>
        <v>51.475000000000001</v>
      </c>
      <c r="N21" s="32">
        <f t="shared" si="11"/>
        <v>61.769999999999996</v>
      </c>
    </row>
    <row r="22" spans="2:15" ht="15" customHeight="1" x14ac:dyDescent="0.25">
      <c r="B22" s="195"/>
      <c r="C22" s="16" t="s">
        <v>137</v>
      </c>
      <c r="D22" s="6" t="s">
        <v>138</v>
      </c>
      <c r="E22" s="65">
        <v>25</v>
      </c>
      <c r="F22" s="62">
        <v>30</v>
      </c>
      <c r="G22" s="17">
        <f>E22*7.6/100</f>
        <v>1.9</v>
      </c>
      <c r="H22" s="30">
        <f>F22*7.6/100</f>
        <v>2.2799999999999998</v>
      </c>
      <c r="I22" s="17">
        <f>E22*0.8/100</f>
        <v>0.2</v>
      </c>
      <c r="J22" s="30">
        <f>F22*0.8/100</f>
        <v>0.24</v>
      </c>
      <c r="K22" s="17">
        <f>E22*49.2/100</f>
        <v>12.3</v>
      </c>
      <c r="L22" s="30">
        <f>F22*49.2/100</f>
        <v>14.76</v>
      </c>
      <c r="M22" s="17">
        <f t="shared" si="11"/>
        <v>58.6</v>
      </c>
      <c r="N22" s="32">
        <f t="shared" si="11"/>
        <v>70.319999999999993</v>
      </c>
    </row>
    <row r="23" spans="2:15" ht="15" customHeight="1" x14ac:dyDescent="0.25">
      <c r="B23" s="195"/>
      <c r="C23" s="16"/>
      <c r="D23" s="4" t="s">
        <v>14</v>
      </c>
      <c r="E23" s="21">
        <f t="shared" ref="E23:N23" si="12">SUM(E16:E22)</f>
        <v>550</v>
      </c>
      <c r="F23" s="35">
        <f t="shared" si="12"/>
        <v>690</v>
      </c>
      <c r="G23" s="7">
        <f t="shared" si="12"/>
        <v>22.02</v>
      </c>
      <c r="H23" s="31">
        <f t="shared" si="12"/>
        <v>28.04</v>
      </c>
      <c r="I23" s="7">
        <f t="shared" si="12"/>
        <v>19.309999999999999</v>
      </c>
      <c r="J23" s="31">
        <f t="shared" si="12"/>
        <v>26.321999999999999</v>
      </c>
      <c r="K23" s="7">
        <f t="shared" si="12"/>
        <v>70.67</v>
      </c>
      <c r="L23" s="31">
        <f t="shared" si="12"/>
        <v>88.210000000000008</v>
      </c>
      <c r="M23" s="7">
        <f t="shared" si="12"/>
        <v>544.55000000000007</v>
      </c>
      <c r="N23" s="33">
        <f t="shared" si="12"/>
        <v>701.89799999999991</v>
      </c>
    </row>
    <row r="24" spans="2:15" ht="15" customHeight="1" x14ac:dyDescent="0.25">
      <c r="B24" s="195"/>
      <c r="C24" s="191" t="s">
        <v>84</v>
      </c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3"/>
    </row>
    <row r="25" spans="2:15" ht="15" customHeight="1" x14ac:dyDescent="0.25">
      <c r="B25" s="195"/>
      <c r="C25" s="16" t="s">
        <v>262</v>
      </c>
      <c r="D25" s="9" t="s">
        <v>263</v>
      </c>
      <c r="E25" s="102">
        <v>100</v>
      </c>
      <c r="F25" s="28">
        <v>100</v>
      </c>
      <c r="G25" s="17">
        <f>E25*3.67/40</f>
        <v>9.1750000000000007</v>
      </c>
      <c r="H25" s="30">
        <f>F25*3.67/40</f>
        <v>9.1750000000000007</v>
      </c>
      <c r="I25" s="17">
        <f>E25*5.65/40</f>
        <v>14.125</v>
      </c>
      <c r="J25" s="30">
        <f>F25*5.65/40</f>
        <v>14.125</v>
      </c>
      <c r="K25" s="17">
        <f>E25*20.12/40</f>
        <v>50.3</v>
      </c>
      <c r="L25" s="30">
        <f>F25*20.12/40</f>
        <v>50.3</v>
      </c>
      <c r="M25" s="17">
        <f t="shared" ref="M25:N25" si="13">G25*4+I25*9+K25*4</f>
        <v>365.02499999999998</v>
      </c>
      <c r="N25" s="32">
        <f t="shared" si="13"/>
        <v>365.02499999999998</v>
      </c>
    </row>
    <row r="26" spans="2:15" ht="15" customHeight="1" x14ac:dyDescent="0.25">
      <c r="B26" s="195"/>
      <c r="C26" s="15" t="s">
        <v>43</v>
      </c>
      <c r="D26" s="9" t="s">
        <v>91</v>
      </c>
      <c r="E26" s="102">
        <v>150</v>
      </c>
      <c r="F26" s="28">
        <v>180</v>
      </c>
      <c r="G26" s="17">
        <f>E26*0.67/200</f>
        <v>0.50249999999999995</v>
      </c>
      <c r="H26" s="30">
        <f>F26*0.67/200</f>
        <v>0.60300000000000009</v>
      </c>
      <c r="I26" s="17">
        <f>E26*0.27/200</f>
        <v>0.20250000000000001</v>
      </c>
      <c r="J26" s="30">
        <f>F26*0.27/200</f>
        <v>0.24299999999999999</v>
      </c>
      <c r="K26" s="17">
        <f>E26*18.3/200</f>
        <v>13.725</v>
      </c>
      <c r="L26" s="30">
        <f>F26*18.3/200</f>
        <v>16.47</v>
      </c>
      <c r="M26" s="17">
        <f t="shared" ref="M26:N26" si="14">G26*4+I26*9+K26*4</f>
        <v>58.732500000000002</v>
      </c>
      <c r="N26" s="32">
        <f t="shared" si="14"/>
        <v>70.478999999999999</v>
      </c>
    </row>
    <row r="27" spans="2:15" ht="15" customHeight="1" x14ac:dyDescent="0.25">
      <c r="B27" s="195"/>
      <c r="C27" s="44"/>
      <c r="D27" s="51" t="s">
        <v>81</v>
      </c>
      <c r="E27" s="52">
        <f t="shared" ref="E27:N27" si="15">SUM(E25:E26)</f>
        <v>250</v>
      </c>
      <c r="F27" s="53">
        <f t="shared" si="15"/>
        <v>280</v>
      </c>
      <c r="G27" s="54">
        <f t="shared" si="15"/>
        <v>9.6775000000000002</v>
      </c>
      <c r="H27" s="55">
        <f t="shared" si="15"/>
        <v>9.7780000000000005</v>
      </c>
      <c r="I27" s="54">
        <f t="shared" si="15"/>
        <v>14.327500000000001</v>
      </c>
      <c r="J27" s="55">
        <f t="shared" si="15"/>
        <v>14.368</v>
      </c>
      <c r="K27" s="54">
        <f t="shared" si="15"/>
        <v>64.024999999999991</v>
      </c>
      <c r="L27" s="55">
        <f t="shared" si="15"/>
        <v>66.77</v>
      </c>
      <c r="M27" s="54">
        <f t="shared" si="15"/>
        <v>423.75749999999999</v>
      </c>
      <c r="N27" s="56">
        <f t="shared" si="15"/>
        <v>435.50399999999996</v>
      </c>
    </row>
    <row r="28" spans="2:15" ht="15" customHeight="1" thickBot="1" x14ac:dyDescent="0.3">
      <c r="B28" s="196"/>
      <c r="C28" s="22"/>
      <c r="D28" s="13" t="s">
        <v>12</v>
      </c>
      <c r="E28" s="18"/>
      <c r="F28" s="45"/>
      <c r="G28" s="14">
        <f t="shared" ref="G28:N28" si="16">G27+G23+G14+G11</f>
        <v>41.058499999999995</v>
      </c>
      <c r="H28" s="36">
        <f t="shared" si="16"/>
        <v>48.195999999999998</v>
      </c>
      <c r="I28" s="14">
        <f t="shared" si="16"/>
        <v>47.246499999999997</v>
      </c>
      <c r="J28" s="36">
        <f t="shared" si="16"/>
        <v>56.545999999999999</v>
      </c>
      <c r="K28" s="14">
        <f t="shared" si="16"/>
        <v>188.34100000000001</v>
      </c>
      <c r="L28" s="36">
        <f t="shared" si="16"/>
        <v>215.19800000000004</v>
      </c>
      <c r="M28" s="14">
        <f t="shared" si="16"/>
        <v>1342.8165000000001</v>
      </c>
      <c r="N28" s="38">
        <f t="shared" si="16"/>
        <v>1562.4899999999998</v>
      </c>
    </row>
    <row r="29" spans="2:15" ht="17.25" customHeight="1" thickBot="1" x14ac:dyDescent="0.3">
      <c r="B29" s="240" t="s">
        <v>63</v>
      </c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2"/>
      <c r="O29" s="1"/>
    </row>
    <row r="30" spans="2:15" ht="15" customHeight="1" x14ac:dyDescent="0.25">
      <c r="B30" s="243" t="s">
        <v>24</v>
      </c>
      <c r="C30" s="244"/>
      <c r="D30" s="245" t="s">
        <v>25</v>
      </c>
      <c r="E30" s="245"/>
      <c r="F30" s="245"/>
      <c r="G30" s="245"/>
      <c r="H30" s="245"/>
      <c r="I30" s="245"/>
      <c r="J30" s="245"/>
      <c r="K30" s="245"/>
      <c r="L30" s="245"/>
      <c r="M30" s="245"/>
      <c r="N30" s="246"/>
    </row>
    <row r="31" spans="2:15" ht="15.75" customHeight="1" x14ac:dyDescent="0.25">
      <c r="B31" s="227"/>
      <c r="C31" s="228"/>
      <c r="D31" s="231" t="s">
        <v>35</v>
      </c>
      <c r="E31" s="231"/>
      <c r="F31" s="231"/>
      <c r="G31" s="231"/>
      <c r="H31" s="231"/>
      <c r="I31" s="231"/>
      <c r="J31" s="231"/>
      <c r="K31" s="231"/>
      <c r="L31" s="231"/>
      <c r="M31" s="231"/>
      <c r="N31" s="232"/>
    </row>
    <row r="32" spans="2:15" ht="12" customHeight="1" x14ac:dyDescent="0.25">
      <c r="B32" s="227" t="s">
        <v>26</v>
      </c>
      <c r="C32" s="228"/>
      <c r="D32" s="229" t="s">
        <v>27</v>
      </c>
      <c r="E32" s="229"/>
      <c r="F32" s="229"/>
      <c r="G32" s="229"/>
      <c r="H32" s="229"/>
      <c r="I32" s="229"/>
      <c r="J32" s="229"/>
      <c r="K32" s="229"/>
      <c r="L32" s="229"/>
      <c r="M32" s="229"/>
      <c r="N32" s="230"/>
    </row>
    <row r="33" spans="2:14" x14ac:dyDescent="0.25">
      <c r="B33" s="227"/>
      <c r="C33" s="228"/>
      <c r="D33" s="231" t="s">
        <v>28</v>
      </c>
      <c r="E33" s="231"/>
      <c r="F33" s="231"/>
      <c r="G33" s="231"/>
      <c r="H33" s="231"/>
      <c r="I33" s="231"/>
      <c r="J33" s="231"/>
      <c r="K33" s="231"/>
      <c r="L33" s="231"/>
      <c r="M33" s="231"/>
      <c r="N33" s="232"/>
    </row>
    <row r="34" spans="2:14" x14ac:dyDescent="0.25">
      <c r="B34" s="227" t="s">
        <v>29</v>
      </c>
      <c r="C34" s="228"/>
      <c r="D34" s="229" t="s">
        <v>27</v>
      </c>
      <c r="E34" s="229"/>
      <c r="F34" s="229"/>
      <c r="G34" s="229"/>
      <c r="H34" s="229"/>
      <c r="I34" s="229"/>
      <c r="J34" s="229"/>
      <c r="K34" s="229"/>
      <c r="L34" s="229"/>
      <c r="M34" s="229"/>
      <c r="N34" s="230"/>
    </row>
    <row r="35" spans="2:14" x14ac:dyDescent="0.25">
      <c r="B35" s="227"/>
      <c r="C35" s="228"/>
      <c r="D35" s="231" t="s">
        <v>30</v>
      </c>
      <c r="E35" s="231"/>
      <c r="F35" s="231"/>
      <c r="G35" s="231"/>
      <c r="H35" s="231"/>
      <c r="I35" s="231"/>
      <c r="J35" s="231"/>
      <c r="K35" s="231"/>
      <c r="L35" s="231"/>
      <c r="M35" s="231"/>
      <c r="N35" s="232"/>
    </row>
    <row r="36" spans="2:14" x14ac:dyDescent="0.25">
      <c r="B36" s="227" t="s">
        <v>32</v>
      </c>
      <c r="C36" s="228"/>
      <c r="D36" s="235" t="s">
        <v>33</v>
      </c>
      <c r="E36" s="236"/>
      <c r="F36" s="236"/>
      <c r="G36" s="236"/>
      <c r="H36" s="236"/>
      <c r="I36" s="236"/>
      <c r="J36" s="236"/>
      <c r="K36" s="236"/>
      <c r="L36" s="236"/>
      <c r="M36" s="236"/>
      <c r="N36" s="237"/>
    </row>
    <row r="37" spans="2:14" ht="15.75" thickBot="1" x14ac:dyDescent="0.3">
      <c r="B37" s="233"/>
      <c r="C37" s="234"/>
      <c r="D37" s="238" t="s">
        <v>34</v>
      </c>
      <c r="E37" s="238"/>
      <c r="F37" s="238"/>
      <c r="G37" s="238"/>
      <c r="H37" s="238"/>
      <c r="I37" s="238"/>
      <c r="J37" s="238"/>
      <c r="K37" s="238"/>
      <c r="L37" s="238"/>
      <c r="M37" s="238"/>
      <c r="N37" s="239"/>
    </row>
    <row r="42" spans="2:14" x14ac:dyDescent="0.25">
      <c r="F42" s="1"/>
    </row>
    <row r="50" spans="10:10" x14ac:dyDescent="0.25">
      <c r="J50" s="1"/>
    </row>
  </sheetData>
  <mergeCells count="28">
    <mergeCell ref="M3:N4"/>
    <mergeCell ref="G4:H4"/>
    <mergeCell ref="I4:J4"/>
    <mergeCell ref="K4:L4"/>
    <mergeCell ref="B2:E2"/>
    <mergeCell ref="B3:B5"/>
    <mergeCell ref="C3:C5"/>
    <mergeCell ref="D3:D5"/>
    <mergeCell ref="E3:F4"/>
    <mergeCell ref="G3:L3"/>
    <mergeCell ref="B6:B28"/>
    <mergeCell ref="C6:N6"/>
    <mergeCell ref="C12:N12"/>
    <mergeCell ref="C15:N15"/>
    <mergeCell ref="C24:N24"/>
    <mergeCell ref="B29:N29"/>
    <mergeCell ref="B30:C31"/>
    <mergeCell ref="D30:N30"/>
    <mergeCell ref="D31:N31"/>
    <mergeCell ref="B32:C33"/>
    <mergeCell ref="D32:N32"/>
    <mergeCell ref="D33:N33"/>
    <mergeCell ref="B34:C35"/>
    <mergeCell ref="D34:N34"/>
    <mergeCell ref="D35:N35"/>
    <mergeCell ref="B36:C37"/>
    <mergeCell ref="D36:N36"/>
    <mergeCell ref="D37:N37"/>
  </mergeCells>
  <pageMargins left="0.7" right="0.7" top="0.75" bottom="0.75" header="0.3" footer="0.3"/>
  <pageSetup paperSize="9" scale="85" fitToWidth="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Z57"/>
  <sheetViews>
    <sheetView zoomScale="90" zoomScaleNormal="90" zoomScalePageLayoutView="80" workbookViewId="0">
      <selection activeCell="D6" sqref="D6:M7"/>
    </sheetView>
  </sheetViews>
  <sheetFormatPr defaultColWidth="9.140625" defaultRowHeight="15" x14ac:dyDescent="0.25"/>
  <cols>
    <col min="1" max="1" width="6.5703125" style="11" customWidth="1"/>
    <col min="2" max="2" width="2.7109375" style="11" customWidth="1"/>
    <col min="3" max="3" width="10.5703125" style="10" customWidth="1"/>
    <col min="4" max="4" width="40.85546875" style="10" customWidth="1"/>
    <col min="5" max="6" width="7.28515625" style="10" customWidth="1"/>
    <col min="7" max="7" width="6.7109375" style="10" customWidth="1"/>
    <col min="8" max="8" width="6.85546875" style="10" customWidth="1"/>
    <col min="9" max="9" width="6.42578125" style="10" customWidth="1"/>
    <col min="10" max="10" width="6.5703125" style="10" customWidth="1"/>
    <col min="11" max="11" width="7.5703125" style="10" customWidth="1"/>
    <col min="12" max="12" width="7.42578125" style="10" customWidth="1"/>
    <col min="13" max="13" width="8.5703125" style="10" customWidth="1"/>
    <col min="14" max="14" width="9.42578125" style="10" customWidth="1"/>
    <col min="15" max="15" width="8.28515625" style="10" customWidth="1"/>
    <col min="16" max="16" width="7.28515625" style="10" customWidth="1"/>
    <col min="17" max="20" width="9.140625" style="10"/>
    <col min="21" max="21" width="19.7109375" style="10" customWidth="1"/>
    <col min="22" max="22" width="7.7109375" style="10" customWidth="1"/>
    <col min="23" max="23" width="9.140625" style="10"/>
    <col min="24" max="24" width="7.7109375" style="10" customWidth="1"/>
    <col min="25" max="16384" width="9.140625" style="10"/>
  </cols>
  <sheetData>
    <row r="1" spans="2:26" s="11" customFormat="1" ht="18.75" x14ac:dyDescent="0.3">
      <c r="C1" s="171" t="s">
        <v>203</v>
      </c>
      <c r="D1" s="171"/>
      <c r="E1" s="171"/>
      <c r="F1" s="171"/>
      <c r="G1" s="171"/>
      <c r="H1" s="67"/>
      <c r="I1" s="171" t="s">
        <v>279</v>
      </c>
      <c r="J1" s="171"/>
      <c r="K1" s="171"/>
      <c r="L1" s="171"/>
      <c r="M1" s="171"/>
    </row>
    <row r="2" spans="2:26" s="64" customFormat="1" ht="15" customHeight="1" x14ac:dyDescent="0.25">
      <c r="C2" s="68" t="s">
        <v>280</v>
      </c>
      <c r="D2" s="68"/>
      <c r="E2" s="68"/>
      <c r="F2" s="66"/>
      <c r="G2" s="68"/>
      <c r="H2" s="68"/>
      <c r="I2" s="170" t="s">
        <v>204</v>
      </c>
      <c r="J2" s="170"/>
      <c r="K2" s="170"/>
      <c r="L2" s="170"/>
      <c r="M2" s="170"/>
      <c r="N2" s="170"/>
      <c r="O2" s="170"/>
    </row>
    <row r="3" spans="2:26" s="64" customFormat="1" ht="15" customHeight="1" x14ac:dyDescent="0.25">
      <c r="C3" s="170" t="s">
        <v>281</v>
      </c>
      <c r="D3" s="170"/>
      <c r="E3" s="170"/>
      <c r="F3" s="170"/>
      <c r="G3" s="68"/>
      <c r="H3" s="68"/>
      <c r="I3" s="170" t="s">
        <v>205</v>
      </c>
      <c r="J3" s="170"/>
      <c r="K3" s="170"/>
      <c r="L3" s="170"/>
      <c r="M3" s="170"/>
      <c r="N3" s="68"/>
    </row>
    <row r="4" spans="2:26" s="11" customFormat="1" ht="17.25" customHeight="1" x14ac:dyDescent="0.25"/>
    <row r="5" spans="2:26" s="12" customFormat="1" ht="13.5" customHeight="1" x14ac:dyDescent="0.25"/>
    <row r="6" spans="2:26" s="11" customFormat="1" x14ac:dyDescent="0.25"/>
    <row r="7" spans="2:26" s="11" customFormat="1" ht="15.75" x14ac:dyDescent="0.25">
      <c r="D7" s="173" t="s">
        <v>41</v>
      </c>
      <c r="E7" s="173"/>
      <c r="F7" s="173"/>
      <c r="G7" s="173"/>
      <c r="H7" s="173"/>
      <c r="I7" s="173"/>
      <c r="J7" s="173"/>
      <c r="K7" s="173"/>
      <c r="L7" s="173"/>
      <c r="M7" s="173"/>
    </row>
    <row r="8" spans="2:26" s="11" customFormat="1" ht="15.75" x14ac:dyDescent="0.25">
      <c r="D8" s="173" t="s">
        <v>99</v>
      </c>
      <c r="E8" s="173"/>
      <c r="F8" s="173"/>
      <c r="G8" s="173"/>
      <c r="H8" s="173"/>
      <c r="I8" s="173"/>
      <c r="J8" s="173"/>
      <c r="K8" s="173"/>
      <c r="L8" s="173"/>
      <c r="M8" s="173"/>
    </row>
    <row r="9" spans="2:26" s="11" customFormat="1" ht="15.75" x14ac:dyDescent="0.25">
      <c r="D9" s="173" t="s">
        <v>206</v>
      </c>
      <c r="E9" s="173"/>
      <c r="F9" s="173"/>
      <c r="G9" s="173"/>
      <c r="H9" s="173"/>
      <c r="I9" s="173"/>
      <c r="J9" s="173"/>
      <c r="K9" s="173"/>
      <c r="L9" s="173"/>
      <c r="M9" s="173"/>
    </row>
    <row r="10" spans="2:26" ht="15.75" x14ac:dyDescent="0.25">
      <c r="C10" s="11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2:26" ht="15" customHeight="1" thickBot="1" x14ac:dyDescent="0.3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2"/>
      <c r="P11" s="2"/>
      <c r="Q11" s="1"/>
      <c r="R11" s="1"/>
      <c r="S11" s="1"/>
      <c r="T11" s="1"/>
      <c r="U11" s="2"/>
      <c r="V11" s="2"/>
      <c r="W11" s="1"/>
      <c r="X11" s="1"/>
      <c r="Y11" s="1"/>
      <c r="Z11" s="1"/>
    </row>
    <row r="12" spans="2:26" ht="15" customHeight="1" x14ac:dyDescent="0.25">
      <c r="B12" s="197" t="s">
        <v>39</v>
      </c>
      <c r="C12" s="181" t="s">
        <v>0</v>
      </c>
      <c r="D12" s="184" t="s">
        <v>1</v>
      </c>
      <c r="E12" s="187" t="s">
        <v>6</v>
      </c>
      <c r="F12" s="188"/>
      <c r="G12" s="200" t="s">
        <v>7</v>
      </c>
      <c r="H12" s="200"/>
      <c r="I12" s="200"/>
      <c r="J12" s="200"/>
      <c r="K12" s="200"/>
      <c r="L12" s="200"/>
      <c r="M12" s="201" t="s">
        <v>5</v>
      </c>
      <c r="N12" s="202"/>
      <c r="O12" s="1"/>
      <c r="P12" s="3"/>
      <c r="Q12" s="5"/>
      <c r="R12" s="5"/>
      <c r="S12" s="5"/>
      <c r="T12" s="5"/>
      <c r="U12" s="1"/>
      <c r="V12" s="3"/>
      <c r="W12" s="5"/>
      <c r="X12" s="5"/>
      <c r="Y12" s="5"/>
      <c r="Z12" s="5"/>
    </row>
    <row r="13" spans="2:26" x14ac:dyDescent="0.25">
      <c r="B13" s="198"/>
      <c r="C13" s="182"/>
      <c r="D13" s="185"/>
      <c r="E13" s="189"/>
      <c r="F13" s="190"/>
      <c r="G13" s="205" t="s">
        <v>3</v>
      </c>
      <c r="H13" s="205"/>
      <c r="I13" s="203" t="s">
        <v>2</v>
      </c>
      <c r="J13" s="203"/>
      <c r="K13" s="205" t="s">
        <v>4</v>
      </c>
      <c r="L13" s="205"/>
      <c r="M13" s="203"/>
      <c r="N13" s="204"/>
      <c r="O13" s="1"/>
      <c r="P13" s="3"/>
      <c r="Q13" s="5"/>
      <c r="R13" s="5"/>
      <c r="S13" s="5"/>
      <c r="T13" s="5"/>
      <c r="U13" s="1"/>
      <c r="V13" s="3"/>
      <c r="W13" s="5"/>
      <c r="X13" s="5"/>
      <c r="Y13" s="5"/>
      <c r="Z13" s="5"/>
    </row>
    <row r="14" spans="2:26" ht="26.25" customHeight="1" thickBot="1" x14ac:dyDescent="0.3">
      <c r="B14" s="199"/>
      <c r="C14" s="183"/>
      <c r="D14" s="186"/>
      <c r="E14" s="58" t="s">
        <v>82</v>
      </c>
      <c r="F14" s="59" t="s">
        <v>83</v>
      </c>
      <c r="G14" s="58" t="s">
        <v>82</v>
      </c>
      <c r="H14" s="60" t="s">
        <v>83</v>
      </c>
      <c r="I14" s="58" t="s">
        <v>82</v>
      </c>
      <c r="J14" s="60" t="s">
        <v>83</v>
      </c>
      <c r="K14" s="58" t="s">
        <v>82</v>
      </c>
      <c r="L14" s="60" t="s">
        <v>83</v>
      </c>
      <c r="M14" s="58" t="s">
        <v>82</v>
      </c>
      <c r="N14" s="61" t="s">
        <v>83</v>
      </c>
      <c r="O14" s="1"/>
      <c r="P14" s="3"/>
      <c r="Q14" s="5"/>
      <c r="R14" s="5"/>
      <c r="S14" s="5"/>
      <c r="T14" s="5"/>
      <c r="U14" s="1"/>
      <c r="V14" s="3"/>
      <c r="W14" s="5"/>
      <c r="X14" s="5"/>
      <c r="Y14" s="5"/>
      <c r="Z14" s="5"/>
    </row>
    <row r="15" spans="2:26" x14ac:dyDescent="0.25">
      <c r="B15" s="194" t="s">
        <v>37</v>
      </c>
      <c r="C15" s="175" t="s">
        <v>8</v>
      </c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7"/>
      <c r="O15" s="1"/>
      <c r="P15" s="3"/>
      <c r="Q15" s="5"/>
      <c r="R15" s="5"/>
      <c r="S15" s="5"/>
      <c r="T15" s="5"/>
      <c r="U15" s="1"/>
      <c r="V15" s="3"/>
      <c r="W15" s="5"/>
      <c r="X15" s="5"/>
      <c r="Y15" s="5"/>
      <c r="Z15" s="5"/>
    </row>
    <row r="16" spans="2:26" x14ac:dyDescent="0.25">
      <c r="B16" s="195"/>
      <c r="C16" s="16" t="s">
        <v>55</v>
      </c>
      <c r="D16" s="8" t="s">
        <v>53</v>
      </c>
      <c r="E16" s="90">
        <v>140</v>
      </c>
      <c r="F16" s="27">
        <v>160</v>
      </c>
      <c r="G16" s="17">
        <f>E16*4.35/100</f>
        <v>6.09</v>
      </c>
      <c r="H16" s="30">
        <f>F16*4.35/100</f>
        <v>6.96</v>
      </c>
      <c r="I16" s="17">
        <f>E16*3.74/100</f>
        <v>5.2360000000000007</v>
      </c>
      <c r="J16" s="30">
        <f>F16*3.74/100</f>
        <v>5.9840000000000009</v>
      </c>
      <c r="K16" s="90">
        <f>E16*15.7/100</f>
        <v>21.98</v>
      </c>
      <c r="L16" s="28">
        <f>F16*15.7/100</f>
        <v>25.12</v>
      </c>
      <c r="M16" s="90">
        <f t="shared" ref="M16:N20" si="0">G16*4+I16*9+K16*4</f>
        <v>159.404</v>
      </c>
      <c r="N16" s="32">
        <f t="shared" si="0"/>
        <v>182.17600000000002</v>
      </c>
      <c r="O16" s="1"/>
      <c r="P16" s="3"/>
      <c r="Q16" s="5"/>
      <c r="R16" s="5"/>
      <c r="S16" s="5"/>
      <c r="T16" s="5"/>
      <c r="U16" s="1"/>
      <c r="V16" s="3"/>
      <c r="W16" s="5"/>
      <c r="X16" s="5"/>
      <c r="Y16" s="5"/>
      <c r="Z16" s="5"/>
    </row>
    <row r="17" spans="2:26" x14ac:dyDescent="0.25">
      <c r="B17" s="195"/>
      <c r="C17" s="16" t="s">
        <v>137</v>
      </c>
      <c r="D17" s="6" t="s">
        <v>138</v>
      </c>
      <c r="E17" s="65">
        <v>25</v>
      </c>
      <c r="F17" s="62">
        <v>30</v>
      </c>
      <c r="G17" s="17">
        <f>E17*7.6/100</f>
        <v>1.9</v>
      </c>
      <c r="H17" s="30">
        <f>F17*7.6/100</f>
        <v>2.2799999999999998</v>
      </c>
      <c r="I17" s="17">
        <f>E17*0.8/100</f>
        <v>0.2</v>
      </c>
      <c r="J17" s="30">
        <f>F17*0.8/100</f>
        <v>0.24</v>
      </c>
      <c r="K17" s="17">
        <f>E17*49.2/100</f>
        <v>12.3</v>
      </c>
      <c r="L17" s="30">
        <f>F17*49.2/100</f>
        <v>14.76</v>
      </c>
      <c r="M17" s="17">
        <f t="shared" si="0"/>
        <v>58.6</v>
      </c>
      <c r="N17" s="32">
        <f t="shared" si="0"/>
        <v>70.319999999999993</v>
      </c>
      <c r="O17" s="1"/>
      <c r="P17" s="3"/>
      <c r="Q17" s="5"/>
      <c r="R17" s="5"/>
      <c r="S17" s="5"/>
      <c r="T17" s="5"/>
      <c r="U17" s="1"/>
      <c r="V17" s="3"/>
      <c r="W17" s="5"/>
      <c r="X17" s="5"/>
      <c r="Y17" s="5"/>
      <c r="Z17" s="5"/>
    </row>
    <row r="18" spans="2:26" s="12" customFormat="1" x14ac:dyDescent="0.25">
      <c r="B18" s="195"/>
      <c r="C18" s="15" t="s">
        <v>135</v>
      </c>
      <c r="D18" s="8" t="s">
        <v>136</v>
      </c>
      <c r="E18" s="90">
        <v>25</v>
      </c>
      <c r="F18" s="27">
        <v>25</v>
      </c>
      <c r="G18" s="17">
        <f>E18*12.7/100</f>
        <v>3.1749999999999998</v>
      </c>
      <c r="H18" s="30">
        <f>F18*12.7/100</f>
        <v>3.1749999999999998</v>
      </c>
      <c r="I18" s="17">
        <f>E18*11.5/100</f>
        <v>2.875</v>
      </c>
      <c r="J18" s="30">
        <f>F18*11.5/100</f>
        <v>2.875</v>
      </c>
      <c r="K18" s="17">
        <f>E18*0.07/100</f>
        <v>1.7500000000000002E-2</v>
      </c>
      <c r="L18" s="30">
        <f>F18*0.07/100</f>
        <v>1.7500000000000002E-2</v>
      </c>
      <c r="M18" s="17">
        <f t="shared" si="0"/>
        <v>38.645000000000003</v>
      </c>
      <c r="N18" s="32">
        <f t="shared" si="0"/>
        <v>38.645000000000003</v>
      </c>
      <c r="O18" s="1"/>
      <c r="P18" s="3"/>
      <c r="Q18" s="5"/>
      <c r="R18" s="5"/>
      <c r="S18" s="5"/>
      <c r="T18" s="5"/>
      <c r="U18" s="1"/>
      <c r="V18" s="3"/>
      <c r="W18" s="5"/>
      <c r="X18" s="5"/>
      <c r="Y18" s="5"/>
      <c r="Z18" s="5"/>
    </row>
    <row r="19" spans="2:26" x14ac:dyDescent="0.25">
      <c r="B19" s="195"/>
      <c r="C19" s="16" t="s">
        <v>44</v>
      </c>
      <c r="D19" s="6" t="s">
        <v>11</v>
      </c>
      <c r="E19" s="90">
        <v>180</v>
      </c>
      <c r="F19" s="28">
        <v>200</v>
      </c>
      <c r="G19" s="17">
        <f>E19*0.3/200</f>
        <v>0.27</v>
      </c>
      <c r="H19" s="30">
        <f>F19*0.3/200</f>
        <v>0.3</v>
      </c>
      <c r="I19" s="17">
        <f t="shared" ref="I19:J19" si="1">E19*0.1/200</f>
        <v>0.09</v>
      </c>
      <c r="J19" s="30">
        <f t="shared" si="1"/>
        <v>0.1</v>
      </c>
      <c r="K19" s="17">
        <f>E19*9.5/200</f>
        <v>8.5500000000000007</v>
      </c>
      <c r="L19" s="30">
        <f>F19*9.5/200</f>
        <v>9.5</v>
      </c>
      <c r="M19" s="17">
        <f t="shared" si="0"/>
        <v>36.090000000000003</v>
      </c>
      <c r="N19" s="32">
        <f t="shared" si="0"/>
        <v>40.1</v>
      </c>
      <c r="O19" s="1"/>
      <c r="P19" s="3"/>
      <c r="Q19" s="5"/>
      <c r="R19" s="5"/>
      <c r="S19" s="5"/>
      <c r="T19" s="5"/>
      <c r="U19" s="1"/>
      <c r="V19" s="3"/>
      <c r="W19" s="5"/>
      <c r="X19" s="5"/>
      <c r="Y19" s="5"/>
      <c r="Z19" s="5"/>
    </row>
    <row r="20" spans="2:26" x14ac:dyDescent="0.25">
      <c r="B20" s="195"/>
      <c r="C20" s="23"/>
      <c r="D20" s="4" t="s">
        <v>13</v>
      </c>
      <c r="E20" s="21">
        <f t="shared" ref="E20:L20" si="2">SUM(E16:E19)</f>
        <v>370</v>
      </c>
      <c r="F20" s="29">
        <f t="shared" si="2"/>
        <v>415</v>
      </c>
      <c r="G20" s="7">
        <f>SUM(G16:G19)</f>
        <v>11.434999999999999</v>
      </c>
      <c r="H20" s="31">
        <f t="shared" si="2"/>
        <v>12.715</v>
      </c>
      <c r="I20" s="7">
        <f t="shared" si="2"/>
        <v>8.4009999999999998</v>
      </c>
      <c r="J20" s="31">
        <f t="shared" si="2"/>
        <v>9.1989999999999998</v>
      </c>
      <c r="K20" s="7">
        <f t="shared" si="2"/>
        <v>42.847499999999997</v>
      </c>
      <c r="L20" s="31">
        <f t="shared" si="2"/>
        <v>49.397500000000001</v>
      </c>
      <c r="M20" s="7">
        <f>G20*4+I20*9+K20*4</f>
        <v>292.73899999999998</v>
      </c>
      <c r="N20" s="33">
        <f t="shared" si="0"/>
        <v>331.24099999999999</v>
      </c>
      <c r="O20" s="1"/>
      <c r="P20" s="3"/>
      <c r="Q20" s="5"/>
      <c r="R20" s="5"/>
      <c r="S20" s="5"/>
      <c r="T20" s="5"/>
      <c r="U20" s="1"/>
      <c r="V20" s="3"/>
      <c r="W20" s="5"/>
      <c r="X20" s="5"/>
      <c r="Y20" s="5"/>
      <c r="Z20" s="5"/>
    </row>
    <row r="21" spans="2:26" x14ac:dyDescent="0.25">
      <c r="B21" s="195"/>
      <c r="C21" s="178" t="s">
        <v>79</v>
      </c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80"/>
      <c r="O21" s="1"/>
      <c r="P21" s="3"/>
      <c r="Q21" s="5"/>
      <c r="R21" s="5"/>
      <c r="S21" s="5"/>
      <c r="T21" s="5"/>
      <c r="U21" s="1"/>
      <c r="V21" s="3"/>
      <c r="W21" s="5"/>
      <c r="X21" s="5"/>
      <c r="Y21" s="5"/>
      <c r="Z21" s="5"/>
    </row>
    <row r="22" spans="2:26" x14ac:dyDescent="0.25">
      <c r="B22" s="195"/>
      <c r="C22" s="16" t="s">
        <v>174</v>
      </c>
      <c r="D22" s="6" t="s">
        <v>175</v>
      </c>
      <c r="E22" s="99">
        <v>100</v>
      </c>
      <c r="F22" s="28">
        <v>100</v>
      </c>
      <c r="G22" s="17">
        <f>E22*0/100</f>
        <v>0</v>
      </c>
      <c r="H22" s="30">
        <f>F22*0/100</f>
        <v>0</v>
      </c>
      <c r="I22" s="17">
        <f>E22*0/100</f>
        <v>0</v>
      </c>
      <c r="J22" s="30">
        <f>F22*0/100</f>
        <v>0</v>
      </c>
      <c r="K22" s="17">
        <f>E22*7.5/100</f>
        <v>7.5</v>
      </c>
      <c r="L22" s="30">
        <f>F22*7.5/100</f>
        <v>7.5</v>
      </c>
      <c r="M22" s="17">
        <f t="shared" ref="M22:N22" si="3">G22*4+I22*9+K22*4</f>
        <v>30</v>
      </c>
      <c r="N22" s="32">
        <f t="shared" si="3"/>
        <v>30</v>
      </c>
      <c r="O22" s="1"/>
      <c r="P22" s="3"/>
      <c r="Q22" s="5"/>
      <c r="R22" s="5"/>
      <c r="S22" s="5"/>
      <c r="T22" s="5"/>
      <c r="U22" s="1"/>
      <c r="V22" s="3"/>
      <c r="W22" s="5"/>
      <c r="X22" s="5"/>
      <c r="Y22" s="5"/>
      <c r="Z22" s="5"/>
    </row>
    <row r="23" spans="2:26" s="12" customFormat="1" x14ac:dyDescent="0.25">
      <c r="B23" s="195"/>
      <c r="C23" s="15"/>
      <c r="D23" s="4" t="s">
        <v>80</v>
      </c>
      <c r="E23" s="21">
        <f t="shared" ref="E23:N23" si="4">SUM(E22:E22)</f>
        <v>100</v>
      </c>
      <c r="F23" s="91">
        <f t="shared" si="4"/>
        <v>100</v>
      </c>
      <c r="G23" s="7">
        <f t="shared" si="4"/>
        <v>0</v>
      </c>
      <c r="H23" s="31">
        <f t="shared" si="4"/>
        <v>0</v>
      </c>
      <c r="I23" s="7">
        <f t="shared" si="4"/>
        <v>0</v>
      </c>
      <c r="J23" s="31">
        <f t="shared" si="4"/>
        <v>0</v>
      </c>
      <c r="K23" s="7">
        <f t="shared" si="4"/>
        <v>7.5</v>
      </c>
      <c r="L23" s="31">
        <f t="shared" si="4"/>
        <v>7.5</v>
      </c>
      <c r="M23" s="7">
        <f t="shared" si="4"/>
        <v>30</v>
      </c>
      <c r="N23" s="33">
        <f t="shared" si="4"/>
        <v>30</v>
      </c>
      <c r="O23" s="1"/>
      <c r="P23" s="3"/>
      <c r="Q23" s="5"/>
      <c r="R23" s="5"/>
      <c r="S23" s="5"/>
      <c r="T23" s="5"/>
      <c r="U23" s="1"/>
      <c r="V23" s="3"/>
      <c r="W23" s="5"/>
      <c r="X23" s="5"/>
      <c r="Y23" s="5"/>
      <c r="Z23" s="5"/>
    </row>
    <row r="24" spans="2:26" s="12" customFormat="1" x14ac:dyDescent="0.25">
      <c r="B24" s="195"/>
      <c r="C24" s="178" t="s">
        <v>9</v>
      </c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80"/>
      <c r="O24" s="1"/>
      <c r="P24" s="3"/>
      <c r="Q24" s="5" t="s">
        <v>23</v>
      </c>
      <c r="R24" s="5"/>
      <c r="S24" s="5"/>
      <c r="T24" s="5"/>
      <c r="U24" s="1"/>
      <c r="V24" s="3"/>
      <c r="W24" s="5"/>
      <c r="X24" s="5"/>
      <c r="Y24" s="5"/>
      <c r="Z24" s="5"/>
    </row>
    <row r="25" spans="2:26" s="12" customFormat="1" x14ac:dyDescent="0.25">
      <c r="B25" s="195"/>
      <c r="C25" s="15" t="s">
        <v>271</v>
      </c>
      <c r="D25" s="9" t="s">
        <v>272</v>
      </c>
      <c r="E25" s="100">
        <v>30</v>
      </c>
      <c r="F25" s="39">
        <v>50</v>
      </c>
      <c r="G25" s="19">
        <f>E25*1/100</f>
        <v>0.3</v>
      </c>
      <c r="H25" s="40">
        <f>F25*1/100</f>
        <v>0.5</v>
      </c>
      <c r="I25" s="19">
        <f>E25*6.1/100</f>
        <v>1.83</v>
      </c>
      <c r="J25" s="40">
        <f>F25*6.1/100</f>
        <v>3.05</v>
      </c>
      <c r="K25" s="19">
        <f>E25*3.5/100</f>
        <v>1.05</v>
      </c>
      <c r="L25" s="40">
        <f>F25*3.5/100</f>
        <v>1.75</v>
      </c>
      <c r="M25" s="19">
        <f t="shared" ref="M25:N25" si="5">G25*4+I25*9+K25*4</f>
        <v>21.869999999999997</v>
      </c>
      <c r="N25" s="37">
        <f t="shared" si="5"/>
        <v>36.450000000000003</v>
      </c>
      <c r="O25" s="1"/>
      <c r="P25" s="3"/>
      <c r="Q25" s="5"/>
      <c r="R25" s="5"/>
      <c r="S25" s="5"/>
      <c r="T25" s="5"/>
      <c r="U25" s="1"/>
      <c r="V25" s="3"/>
      <c r="W25" s="5"/>
      <c r="X25" s="5"/>
      <c r="Y25" s="5"/>
      <c r="Z25" s="5"/>
    </row>
    <row r="26" spans="2:26" s="12" customFormat="1" x14ac:dyDescent="0.25">
      <c r="B26" s="195"/>
      <c r="C26" s="15" t="s">
        <v>97</v>
      </c>
      <c r="D26" s="8" t="s">
        <v>98</v>
      </c>
      <c r="E26" s="99">
        <v>150</v>
      </c>
      <c r="F26" s="34">
        <v>180</v>
      </c>
      <c r="G26" s="17">
        <f>E26*0.8/100</f>
        <v>1.2</v>
      </c>
      <c r="H26" s="30">
        <f>F26*0.8/100</f>
        <v>1.44</v>
      </c>
      <c r="I26" s="17">
        <f>E26*1.72/100</f>
        <v>2.58</v>
      </c>
      <c r="J26" s="30">
        <f>F26*1.72/100</f>
        <v>3.0960000000000001</v>
      </c>
      <c r="K26" s="17">
        <f>E26*4/100</f>
        <v>6</v>
      </c>
      <c r="L26" s="30">
        <f>F26*4/100</f>
        <v>7.2</v>
      </c>
      <c r="M26" s="17">
        <f t="shared" ref="M26" si="6">G26*4+I26*9+K26*4</f>
        <v>52.019999999999996</v>
      </c>
      <c r="N26" s="32">
        <f>H26*4+J26*9+L26*4</f>
        <v>62.424000000000007</v>
      </c>
      <c r="O26" s="1"/>
      <c r="P26" s="3"/>
      <c r="Q26" s="5"/>
      <c r="R26" s="5"/>
      <c r="S26" s="5"/>
      <c r="T26" s="5"/>
      <c r="U26" s="1"/>
      <c r="V26" s="3"/>
      <c r="W26" s="5"/>
      <c r="X26" s="5"/>
      <c r="Y26" s="5"/>
      <c r="Z26" s="5"/>
    </row>
    <row r="27" spans="2:26" x14ac:dyDescent="0.25">
      <c r="B27" s="195"/>
      <c r="C27" s="16" t="s">
        <v>31</v>
      </c>
      <c r="D27" s="6" t="s">
        <v>10</v>
      </c>
      <c r="E27" s="90">
        <v>120</v>
      </c>
      <c r="F27" s="28">
        <v>150</v>
      </c>
      <c r="G27" s="17">
        <f>E27*3.5/100</f>
        <v>4.2</v>
      </c>
      <c r="H27" s="30">
        <f>F27*3.5/100</f>
        <v>5.25</v>
      </c>
      <c r="I27" s="90">
        <f>E27*4.1/100</f>
        <v>4.919999999999999</v>
      </c>
      <c r="J27" s="30">
        <f>F27*4.1/100</f>
        <v>6.15</v>
      </c>
      <c r="K27" s="17">
        <f>E27*23.5/100</f>
        <v>28.2</v>
      </c>
      <c r="L27" s="30">
        <f>F27*23.5/100</f>
        <v>35.25</v>
      </c>
      <c r="M27" s="17">
        <f t="shared" ref="M27:N30" si="7">G27*4+I27*9+K27*4</f>
        <v>173.88</v>
      </c>
      <c r="N27" s="32">
        <f t="shared" ref="N27" si="8">H27*4+J27*9+L27*4</f>
        <v>217.35</v>
      </c>
      <c r="O27" s="1"/>
      <c r="P27" s="3"/>
      <c r="Q27" s="5"/>
      <c r="R27" s="5"/>
      <c r="S27" s="5"/>
      <c r="T27" s="5"/>
      <c r="U27" s="1"/>
      <c r="V27" s="3"/>
      <c r="W27" s="5"/>
      <c r="X27" s="5"/>
      <c r="Y27" s="5"/>
      <c r="Z27" s="5"/>
    </row>
    <row r="28" spans="2:26" x14ac:dyDescent="0.25">
      <c r="B28" s="195"/>
      <c r="C28" s="15" t="s">
        <v>51</v>
      </c>
      <c r="D28" s="9" t="s">
        <v>52</v>
      </c>
      <c r="E28" s="99">
        <v>80</v>
      </c>
      <c r="F28" s="28">
        <v>90</v>
      </c>
      <c r="G28" s="17">
        <f>E28*12/100</f>
        <v>9.6</v>
      </c>
      <c r="H28" s="30">
        <f>F28*12/100</f>
        <v>10.8</v>
      </c>
      <c r="I28" s="17">
        <f>E28*24/100</f>
        <v>19.2</v>
      </c>
      <c r="J28" s="30">
        <f>F28*24/100</f>
        <v>21.6</v>
      </c>
      <c r="K28" s="17">
        <f>E28*5/100</f>
        <v>4</v>
      </c>
      <c r="L28" s="30">
        <f>F28*5/100</f>
        <v>4.5</v>
      </c>
      <c r="M28" s="17">
        <f t="shared" si="7"/>
        <v>227.2</v>
      </c>
      <c r="N28" s="32">
        <f t="shared" si="7"/>
        <v>255.60000000000002</v>
      </c>
      <c r="O28" s="1"/>
      <c r="P28" s="3"/>
      <c r="Q28" s="5"/>
      <c r="R28" s="5"/>
      <c r="S28" s="5"/>
      <c r="T28" s="5"/>
      <c r="U28" s="1"/>
      <c r="V28" s="3"/>
      <c r="W28" s="5"/>
      <c r="X28" s="5"/>
      <c r="Y28" s="5"/>
      <c r="Z28" s="5"/>
    </row>
    <row r="29" spans="2:26" x14ac:dyDescent="0.25">
      <c r="B29" s="195"/>
      <c r="C29" s="15" t="s">
        <v>48</v>
      </c>
      <c r="D29" s="9" t="s">
        <v>49</v>
      </c>
      <c r="E29" s="90">
        <v>150</v>
      </c>
      <c r="F29" s="28">
        <v>180</v>
      </c>
      <c r="G29" s="17">
        <f>E29*0.6/200</f>
        <v>0.45</v>
      </c>
      <c r="H29" s="30">
        <f>F29*0.6/200</f>
        <v>0.54</v>
      </c>
      <c r="I29" s="17">
        <f t="shared" ref="I29" si="9">E29*0.1/200</f>
        <v>7.4999999999999997E-2</v>
      </c>
      <c r="J29" s="30">
        <f t="shared" ref="J29" si="10">F29*0.1/200</f>
        <v>0.09</v>
      </c>
      <c r="K29" s="17">
        <f>E29*20.1/200</f>
        <v>15.074999999999999</v>
      </c>
      <c r="L29" s="30">
        <f>F29*20.1/200</f>
        <v>18.090000000000003</v>
      </c>
      <c r="M29" s="17">
        <f t="shared" si="7"/>
        <v>62.774999999999999</v>
      </c>
      <c r="N29" s="32">
        <f t="shared" si="7"/>
        <v>75.330000000000013</v>
      </c>
      <c r="O29" s="1"/>
      <c r="P29" s="3"/>
      <c r="Q29" s="5"/>
      <c r="R29" s="5"/>
      <c r="S29" s="5"/>
      <c r="T29" s="5"/>
      <c r="U29" s="1"/>
      <c r="V29" s="3"/>
      <c r="W29" s="5"/>
      <c r="X29" s="5"/>
      <c r="Y29" s="5"/>
      <c r="Z29" s="5"/>
    </row>
    <row r="30" spans="2:26" x14ac:dyDescent="0.25">
      <c r="B30" s="195"/>
      <c r="C30" s="16" t="s">
        <v>139</v>
      </c>
      <c r="D30" s="6" t="s">
        <v>22</v>
      </c>
      <c r="E30" s="65">
        <v>25</v>
      </c>
      <c r="F30" s="62">
        <v>30</v>
      </c>
      <c r="G30" s="17">
        <f>E30*8/100</f>
        <v>2</v>
      </c>
      <c r="H30" s="30">
        <f>F30*8/100</f>
        <v>2.4</v>
      </c>
      <c r="I30" s="17">
        <f>E30*1.5/100</f>
        <v>0.375</v>
      </c>
      <c r="J30" s="30">
        <f>F30*1.5/100</f>
        <v>0.45</v>
      </c>
      <c r="K30" s="17">
        <f>E30*40.1/100</f>
        <v>10.025</v>
      </c>
      <c r="L30" s="30">
        <f>F30*40.1/100</f>
        <v>12.03</v>
      </c>
      <c r="M30" s="17">
        <f t="shared" si="7"/>
        <v>51.475000000000001</v>
      </c>
      <c r="N30" s="32">
        <f t="shared" si="7"/>
        <v>61.769999999999996</v>
      </c>
      <c r="O30" s="1"/>
      <c r="P30" s="3"/>
      <c r="Q30" s="5"/>
      <c r="R30" s="5"/>
      <c r="S30" s="5"/>
      <c r="T30" s="5"/>
      <c r="U30" s="1"/>
      <c r="V30" s="3"/>
      <c r="W30" s="5"/>
      <c r="X30" s="5"/>
      <c r="Y30" s="5"/>
      <c r="Z30" s="5"/>
    </row>
    <row r="31" spans="2:26" x14ac:dyDescent="0.25">
      <c r="B31" s="195"/>
      <c r="C31" s="16" t="s">
        <v>137</v>
      </c>
      <c r="D31" s="6" t="s">
        <v>138</v>
      </c>
      <c r="E31" s="65">
        <v>25</v>
      </c>
      <c r="F31" s="62">
        <v>30</v>
      </c>
      <c r="G31" s="17">
        <f>E31*7.6/100</f>
        <v>1.9</v>
      </c>
      <c r="H31" s="30">
        <f>F31*7.6/100</f>
        <v>2.2799999999999998</v>
      </c>
      <c r="I31" s="17">
        <f>E31*0.8/100</f>
        <v>0.2</v>
      </c>
      <c r="J31" s="30">
        <f>F31*0.8/100</f>
        <v>0.24</v>
      </c>
      <c r="K31" s="17">
        <f>E31*49.2/100</f>
        <v>12.3</v>
      </c>
      <c r="L31" s="30">
        <f>F31*49.2/100</f>
        <v>14.76</v>
      </c>
      <c r="M31" s="17">
        <f t="shared" ref="M31:N31" si="11">G31*4+I31*9+K31*4</f>
        <v>58.6</v>
      </c>
      <c r="N31" s="32">
        <f t="shared" si="11"/>
        <v>70.319999999999993</v>
      </c>
      <c r="O31" s="1"/>
      <c r="P31" s="3"/>
      <c r="Q31" s="5"/>
      <c r="R31" s="5"/>
      <c r="S31" s="5"/>
      <c r="T31" s="5"/>
      <c r="U31" s="1"/>
      <c r="V31" s="3"/>
      <c r="W31" s="5"/>
      <c r="X31" s="5"/>
      <c r="Y31" s="5"/>
      <c r="Z31" s="5"/>
    </row>
    <row r="32" spans="2:26" x14ac:dyDescent="0.25">
      <c r="B32" s="195"/>
      <c r="C32" s="16"/>
      <c r="D32" s="4" t="s">
        <v>14</v>
      </c>
      <c r="E32" s="21">
        <f t="shared" ref="E32:N32" si="12">SUM(E25:E31)</f>
        <v>580</v>
      </c>
      <c r="F32" s="35">
        <f t="shared" si="12"/>
        <v>710</v>
      </c>
      <c r="G32" s="7">
        <f t="shared" si="12"/>
        <v>19.649999999999999</v>
      </c>
      <c r="H32" s="31">
        <f t="shared" si="12"/>
        <v>23.21</v>
      </c>
      <c r="I32" s="7">
        <f t="shared" si="12"/>
        <v>29.179999999999996</v>
      </c>
      <c r="J32" s="31">
        <f t="shared" si="12"/>
        <v>34.676000000000009</v>
      </c>
      <c r="K32" s="7">
        <f t="shared" si="12"/>
        <v>76.650000000000006</v>
      </c>
      <c r="L32" s="31">
        <f t="shared" si="12"/>
        <v>93.580000000000013</v>
      </c>
      <c r="M32" s="7">
        <f t="shared" si="12"/>
        <v>647.82000000000005</v>
      </c>
      <c r="N32" s="33">
        <f t="shared" si="12"/>
        <v>779.24400000000014</v>
      </c>
      <c r="O32" s="1"/>
      <c r="P32" s="3"/>
      <c r="Q32" s="5"/>
      <c r="R32" s="5"/>
      <c r="S32" s="5"/>
      <c r="T32" s="5"/>
      <c r="U32" s="1"/>
      <c r="V32" s="3"/>
      <c r="W32" s="5"/>
      <c r="X32" s="5"/>
      <c r="Y32" s="5"/>
      <c r="Z32" s="5"/>
    </row>
    <row r="33" spans="2:26" s="12" customFormat="1" x14ac:dyDescent="0.25">
      <c r="B33" s="195"/>
      <c r="C33" s="191" t="s">
        <v>84</v>
      </c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3"/>
      <c r="O33" s="1"/>
      <c r="P33" s="3"/>
      <c r="Q33" s="5"/>
      <c r="R33" s="5"/>
      <c r="S33" s="5"/>
      <c r="T33" s="5"/>
      <c r="U33" s="1"/>
      <c r="V33" s="3"/>
      <c r="W33" s="5"/>
      <c r="X33" s="5"/>
      <c r="Y33" s="5"/>
      <c r="Z33" s="5"/>
    </row>
    <row r="34" spans="2:26" s="12" customFormat="1" x14ac:dyDescent="0.25">
      <c r="B34" s="195"/>
      <c r="C34" s="15" t="s">
        <v>178</v>
      </c>
      <c r="D34" s="9" t="s">
        <v>179</v>
      </c>
      <c r="E34" s="99">
        <v>50</v>
      </c>
      <c r="F34" s="28">
        <v>70</v>
      </c>
      <c r="G34" s="17">
        <f>E34*3.67/40</f>
        <v>4.5875000000000004</v>
      </c>
      <c r="H34" s="30">
        <f>F34*3.67/40</f>
        <v>6.4224999999999994</v>
      </c>
      <c r="I34" s="17">
        <f>E34*5.65/40</f>
        <v>7.0625</v>
      </c>
      <c r="J34" s="30">
        <f>F34*5.65/40</f>
        <v>9.8874999999999993</v>
      </c>
      <c r="K34" s="17">
        <f>E34*20.12/40</f>
        <v>25.15</v>
      </c>
      <c r="L34" s="30">
        <f>F34*20.12/40</f>
        <v>35.21</v>
      </c>
      <c r="M34" s="17">
        <f t="shared" ref="M34:N35" si="13">G34*4+I34*9+K34*4</f>
        <v>182.51249999999999</v>
      </c>
      <c r="N34" s="32">
        <f t="shared" si="13"/>
        <v>255.51749999999998</v>
      </c>
      <c r="O34" s="1"/>
      <c r="P34" s="3"/>
      <c r="Q34" s="5"/>
      <c r="R34" s="5"/>
      <c r="S34" s="5"/>
      <c r="T34" s="5"/>
      <c r="U34" s="1"/>
      <c r="V34" s="3"/>
      <c r="W34" s="5"/>
      <c r="X34" s="5"/>
      <c r="Y34" s="5"/>
      <c r="Z34" s="5"/>
    </row>
    <row r="35" spans="2:26" s="12" customFormat="1" x14ac:dyDescent="0.25">
      <c r="B35" s="195"/>
      <c r="C35" s="15" t="s">
        <v>89</v>
      </c>
      <c r="D35" s="9" t="s">
        <v>90</v>
      </c>
      <c r="E35" s="99">
        <v>200</v>
      </c>
      <c r="F35" s="28">
        <v>200</v>
      </c>
      <c r="G35" s="17">
        <f>E35*1.65/100</f>
        <v>3.3</v>
      </c>
      <c r="H35" s="30">
        <f>F35*1.65/100</f>
        <v>3.3</v>
      </c>
      <c r="I35" s="17">
        <f>E35*1.45/100</f>
        <v>2.9</v>
      </c>
      <c r="J35" s="30">
        <f>F35*1.45/100</f>
        <v>2.9</v>
      </c>
      <c r="K35" s="17">
        <f>E35*6.9/100</f>
        <v>13.8</v>
      </c>
      <c r="L35" s="30">
        <f>F35*6.9/100</f>
        <v>13.8</v>
      </c>
      <c r="M35" s="17">
        <f t="shared" si="13"/>
        <v>94.5</v>
      </c>
      <c r="N35" s="32">
        <f t="shared" si="13"/>
        <v>94.5</v>
      </c>
      <c r="O35" s="1"/>
      <c r="P35" s="3"/>
      <c r="Q35" s="5"/>
      <c r="R35" s="5"/>
      <c r="S35" s="5"/>
      <c r="T35" s="5"/>
      <c r="U35" s="1"/>
      <c r="V35" s="3"/>
      <c r="W35" s="5"/>
      <c r="X35" s="5"/>
      <c r="Y35" s="5"/>
      <c r="Z35" s="5"/>
    </row>
    <row r="36" spans="2:26" x14ac:dyDescent="0.25">
      <c r="B36" s="195"/>
      <c r="C36" s="44"/>
      <c r="D36" s="51" t="s">
        <v>81</v>
      </c>
      <c r="E36" s="52">
        <f t="shared" ref="E36:N36" si="14">SUM(E34:E35)</f>
        <v>250</v>
      </c>
      <c r="F36" s="53">
        <f t="shared" si="14"/>
        <v>270</v>
      </c>
      <c r="G36" s="54">
        <f t="shared" si="14"/>
        <v>7.8875000000000002</v>
      </c>
      <c r="H36" s="55">
        <f t="shared" si="14"/>
        <v>9.7225000000000001</v>
      </c>
      <c r="I36" s="54">
        <f t="shared" si="14"/>
        <v>9.9625000000000004</v>
      </c>
      <c r="J36" s="55">
        <f t="shared" si="14"/>
        <v>12.7875</v>
      </c>
      <c r="K36" s="54">
        <f t="shared" si="14"/>
        <v>38.950000000000003</v>
      </c>
      <c r="L36" s="55">
        <f t="shared" si="14"/>
        <v>49.010000000000005</v>
      </c>
      <c r="M36" s="54">
        <f t="shared" si="14"/>
        <v>277.01249999999999</v>
      </c>
      <c r="N36" s="56">
        <f t="shared" si="14"/>
        <v>350.01749999999998</v>
      </c>
      <c r="O36" s="1"/>
      <c r="P36" s="3"/>
      <c r="Q36" s="5"/>
      <c r="R36" s="5"/>
      <c r="S36" s="5"/>
      <c r="T36" s="5"/>
      <c r="U36" s="1"/>
      <c r="V36" s="3"/>
      <c r="W36" s="5"/>
      <c r="X36" s="5"/>
      <c r="Y36" s="5"/>
      <c r="Z36" s="5"/>
    </row>
    <row r="37" spans="2:26" s="12" customFormat="1" ht="15.75" thickBot="1" x14ac:dyDescent="0.3">
      <c r="B37" s="196"/>
      <c r="C37" s="22"/>
      <c r="D37" s="13" t="s">
        <v>12</v>
      </c>
      <c r="E37" s="18"/>
      <c r="F37" s="45"/>
      <c r="G37" s="14">
        <f t="shared" ref="G37:N37" si="15">G36+G32+G23+G20</f>
        <v>38.972499999999997</v>
      </c>
      <c r="H37" s="36">
        <f t="shared" si="15"/>
        <v>45.647500000000008</v>
      </c>
      <c r="I37" s="14">
        <f t="shared" si="15"/>
        <v>47.543499999999995</v>
      </c>
      <c r="J37" s="36">
        <f t="shared" si="15"/>
        <v>56.662500000000009</v>
      </c>
      <c r="K37" s="14">
        <f t="shared" si="15"/>
        <v>165.94749999999999</v>
      </c>
      <c r="L37" s="36">
        <f t="shared" si="15"/>
        <v>199.48750000000004</v>
      </c>
      <c r="M37" s="14">
        <f t="shared" si="15"/>
        <v>1247.5715</v>
      </c>
      <c r="N37" s="38">
        <f t="shared" si="15"/>
        <v>1490.5025000000001</v>
      </c>
      <c r="O37" s="1"/>
      <c r="P37" s="3"/>
      <c r="Q37" s="5"/>
      <c r="R37" s="5"/>
      <c r="S37" s="5"/>
      <c r="T37" s="5"/>
      <c r="U37" s="1"/>
      <c r="V37" s="3"/>
      <c r="W37" s="5"/>
      <c r="X37" s="5"/>
      <c r="Y37" s="5"/>
      <c r="Z37" s="5"/>
    </row>
    <row r="38" spans="2:26" x14ac:dyDescent="0.25">
      <c r="B38" s="172" t="s">
        <v>18</v>
      </c>
      <c r="C38" s="172"/>
      <c r="D38" s="172"/>
      <c r="E38" s="172"/>
    </row>
    <row r="40" spans="2:26" x14ac:dyDescent="0.25">
      <c r="D40" s="10" t="s">
        <v>23</v>
      </c>
    </row>
    <row r="43" spans="2:26" x14ac:dyDescent="0.25">
      <c r="F43" s="10" t="s">
        <v>23</v>
      </c>
    </row>
    <row r="49" spans="6:10" x14ac:dyDescent="0.25">
      <c r="F49" s="1"/>
    </row>
    <row r="57" spans="6:10" x14ac:dyDescent="0.25">
      <c r="J57" s="1"/>
    </row>
  </sheetData>
  <mergeCells count="24">
    <mergeCell ref="C24:N24"/>
    <mergeCell ref="B15:B37"/>
    <mergeCell ref="B12:B14"/>
    <mergeCell ref="G12:L12"/>
    <mergeCell ref="M12:N13"/>
    <mergeCell ref="G13:H13"/>
    <mergeCell ref="I13:J13"/>
    <mergeCell ref="K13:L13"/>
    <mergeCell ref="I2:O2"/>
    <mergeCell ref="I1:M1"/>
    <mergeCell ref="I3:M3"/>
    <mergeCell ref="B38:E38"/>
    <mergeCell ref="C1:G1"/>
    <mergeCell ref="C3:F3"/>
    <mergeCell ref="D7:M7"/>
    <mergeCell ref="D8:M8"/>
    <mergeCell ref="D9:M9"/>
    <mergeCell ref="D10:M10"/>
    <mergeCell ref="C15:N15"/>
    <mergeCell ref="C21:N21"/>
    <mergeCell ref="C12:C14"/>
    <mergeCell ref="D12:D14"/>
    <mergeCell ref="E12:F13"/>
    <mergeCell ref="C33:N33"/>
  </mergeCells>
  <pageMargins left="0.23622047244094491" right="0.23622047244094491" top="0.19685039370078741" bottom="0.19685039370078741" header="0.31496062992125984" footer="0.31496062992125984"/>
  <pageSetup paperSize="9" scale="95" fitToWidth="0" fitToHeight="0" orientation="landscape" r:id="rId1"/>
  <ignoredErrors>
    <ignoredError sqref="K27:L2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3:Z50"/>
  <sheetViews>
    <sheetView zoomScale="90" zoomScaleNormal="90" zoomScalePageLayoutView="90" workbookViewId="0">
      <selection activeCell="C14" sqref="C14:N14"/>
    </sheetView>
  </sheetViews>
  <sheetFormatPr defaultColWidth="9.140625" defaultRowHeight="15" x14ac:dyDescent="0.25"/>
  <cols>
    <col min="1" max="1" width="4.85546875" style="12" customWidth="1"/>
    <col min="2" max="2" width="2.7109375" style="12" customWidth="1"/>
    <col min="3" max="3" width="10.5703125" style="12" customWidth="1"/>
    <col min="4" max="4" width="35.28515625" style="12" customWidth="1"/>
    <col min="5" max="6" width="7.28515625" style="12" customWidth="1"/>
    <col min="7" max="7" width="6.7109375" style="12" customWidth="1"/>
    <col min="8" max="8" width="6.85546875" style="12" customWidth="1"/>
    <col min="9" max="9" width="6.42578125" style="12" customWidth="1"/>
    <col min="10" max="10" width="6.5703125" style="12" customWidth="1"/>
    <col min="11" max="11" width="7.5703125" style="12" customWidth="1"/>
    <col min="12" max="12" width="7.42578125" style="12" customWidth="1"/>
    <col min="13" max="13" width="8.5703125" style="12" customWidth="1"/>
    <col min="14" max="14" width="7.5703125" style="12" customWidth="1"/>
    <col min="15" max="15" width="8.28515625" style="12" customWidth="1"/>
    <col min="16" max="16" width="7.28515625" style="12" customWidth="1"/>
    <col min="17" max="20" width="9.140625" style="12"/>
    <col min="21" max="21" width="19.7109375" style="12" customWidth="1"/>
    <col min="22" max="22" width="7.7109375" style="12" customWidth="1"/>
    <col min="23" max="23" width="9.140625" style="12"/>
    <col min="24" max="24" width="7.7109375" style="12" customWidth="1"/>
    <col min="25" max="16384" width="9.140625" style="12"/>
  </cols>
  <sheetData>
    <row r="3" spans="2:26" ht="15" customHeight="1" thickBot="1" x14ac:dyDescent="0.3">
      <c r="B3" s="172" t="s">
        <v>18</v>
      </c>
      <c r="C3" s="172"/>
      <c r="D3" s="172"/>
      <c r="E3" s="172"/>
      <c r="O3" s="2"/>
      <c r="P3" s="2"/>
      <c r="Q3" s="1"/>
      <c r="R3" s="1"/>
      <c r="S3" s="1"/>
      <c r="T3" s="1"/>
      <c r="U3" s="2"/>
      <c r="V3" s="2"/>
      <c r="W3" s="1"/>
      <c r="X3" s="1"/>
      <c r="Y3" s="1"/>
      <c r="Z3" s="1"/>
    </row>
    <row r="4" spans="2:26" ht="15" customHeight="1" x14ac:dyDescent="0.25">
      <c r="B4" s="197" t="s">
        <v>39</v>
      </c>
      <c r="C4" s="181" t="s">
        <v>0</v>
      </c>
      <c r="D4" s="184" t="s">
        <v>1</v>
      </c>
      <c r="E4" s="187" t="s">
        <v>6</v>
      </c>
      <c r="F4" s="188"/>
      <c r="G4" s="200" t="s">
        <v>7</v>
      </c>
      <c r="H4" s="200"/>
      <c r="I4" s="200"/>
      <c r="J4" s="200"/>
      <c r="K4" s="200"/>
      <c r="L4" s="200"/>
      <c r="M4" s="201" t="s">
        <v>5</v>
      </c>
      <c r="N4" s="202"/>
      <c r="O4" s="1"/>
      <c r="P4" s="3"/>
      <c r="Q4" s="5"/>
      <c r="R4" s="5"/>
      <c r="S4" s="5"/>
      <c r="T4" s="5"/>
      <c r="U4" s="1"/>
      <c r="V4" s="3"/>
      <c r="W4" s="5"/>
      <c r="X4" s="5"/>
      <c r="Y4" s="5"/>
      <c r="Z4" s="5"/>
    </row>
    <row r="5" spans="2:26" x14ac:dyDescent="0.25">
      <c r="B5" s="198"/>
      <c r="C5" s="182"/>
      <c r="D5" s="185"/>
      <c r="E5" s="189"/>
      <c r="F5" s="190"/>
      <c r="G5" s="205" t="s">
        <v>3</v>
      </c>
      <c r="H5" s="205"/>
      <c r="I5" s="203" t="s">
        <v>2</v>
      </c>
      <c r="J5" s="203"/>
      <c r="K5" s="205" t="s">
        <v>4</v>
      </c>
      <c r="L5" s="205"/>
      <c r="M5" s="203"/>
      <c r="N5" s="204"/>
      <c r="O5" s="1"/>
      <c r="P5" s="3"/>
      <c r="Q5" s="5"/>
      <c r="R5" s="5"/>
      <c r="S5" s="5"/>
      <c r="T5" s="5"/>
      <c r="U5" s="1"/>
      <c r="V5" s="3"/>
      <c r="W5" s="5"/>
      <c r="X5" s="5"/>
      <c r="Y5" s="5"/>
      <c r="Z5" s="5"/>
    </row>
    <row r="6" spans="2:26" ht="27" customHeight="1" thickBot="1" x14ac:dyDescent="0.3">
      <c r="B6" s="199"/>
      <c r="C6" s="183"/>
      <c r="D6" s="186"/>
      <c r="E6" s="58" t="s">
        <v>82</v>
      </c>
      <c r="F6" s="59" t="s">
        <v>83</v>
      </c>
      <c r="G6" s="58" t="s">
        <v>82</v>
      </c>
      <c r="H6" s="60" t="s">
        <v>83</v>
      </c>
      <c r="I6" s="58" t="s">
        <v>82</v>
      </c>
      <c r="J6" s="60" t="s">
        <v>83</v>
      </c>
      <c r="K6" s="58" t="s">
        <v>82</v>
      </c>
      <c r="L6" s="60" t="s">
        <v>83</v>
      </c>
      <c r="M6" s="58" t="s">
        <v>82</v>
      </c>
      <c r="N6" s="61" t="s">
        <v>83</v>
      </c>
      <c r="O6" s="1"/>
      <c r="P6" s="3"/>
      <c r="Q6" s="5"/>
      <c r="R6" s="5"/>
      <c r="S6" s="5"/>
      <c r="T6" s="5"/>
      <c r="U6" s="1"/>
      <c r="V6" s="3"/>
      <c r="W6" s="5"/>
      <c r="X6" s="5"/>
      <c r="Y6" s="5"/>
      <c r="Z6" s="5"/>
    </row>
    <row r="7" spans="2:26" ht="15" customHeight="1" x14ac:dyDescent="0.25">
      <c r="B7" s="194" t="s">
        <v>38</v>
      </c>
      <c r="C7" s="175" t="s">
        <v>8</v>
      </c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7"/>
    </row>
    <row r="8" spans="2:26" x14ac:dyDescent="0.25">
      <c r="B8" s="195"/>
      <c r="C8" s="97" t="s">
        <v>56</v>
      </c>
      <c r="D8" s="42" t="s">
        <v>17</v>
      </c>
      <c r="E8" s="96">
        <v>140</v>
      </c>
      <c r="F8" s="28">
        <v>160</v>
      </c>
      <c r="G8" s="17">
        <f>E8*2.5/100</f>
        <v>3.5</v>
      </c>
      <c r="H8" s="30">
        <f>F8*2.5/100</f>
        <v>4</v>
      </c>
      <c r="I8" s="17">
        <f>E8*3.18/100</f>
        <v>4.4520000000000008</v>
      </c>
      <c r="J8" s="30">
        <f>F8*3.18/100</f>
        <v>5.0880000000000001</v>
      </c>
      <c r="K8" s="17">
        <f>E8*15.7/100</f>
        <v>21.98</v>
      </c>
      <c r="L8" s="30">
        <f>F8*15.7/100</f>
        <v>25.12</v>
      </c>
      <c r="M8" s="17">
        <f t="shared" ref="M8:N12" si="0">G8*4+I8*9+K8*4</f>
        <v>141.988</v>
      </c>
      <c r="N8" s="32">
        <f t="shared" si="0"/>
        <v>162.27199999999999</v>
      </c>
    </row>
    <row r="9" spans="2:26" x14ac:dyDescent="0.25">
      <c r="B9" s="195"/>
      <c r="C9" s="16" t="s">
        <v>137</v>
      </c>
      <c r="D9" s="6" t="s">
        <v>138</v>
      </c>
      <c r="E9" s="65">
        <v>25</v>
      </c>
      <c r="F9" s="62">
        <v>30</v>
      </c>
      <c r="G9" s="17">
        <f>E9*7.6/100</f>
        <v>1.9</v>
      </c>
      <c r="H9" s="30">
        <f>F9*7.6/100</f>
        <v>2.2799999999999998</v>
      </c>
      <c r="I9" s="17">
        <f>E9*0.8/100</f>
        <v>0.2</v>
      </c>
      <c r="J9" s="30">
        <f>F9*0.8/100</f>
        <v>0.24</v>
      </c>
      <c r="K9" s="17">
        <f>E9*49.2/100</f>
        <v>12.3</v>
      </c>
      <c r="L9" s="30">
        <f>F9*49.2/100</f>
        <v>14.76</v>
      </c>
      <c r="M9" s="17">
        <f t="shared" si="0"/>
        <v>58.6</v>
      </c>
      <c r="N9" s="32">
        <f t="shared" si="0"/>
        <v>70.319999999999993</v>
      </c>
    </row>
    <row r="10" spans="2:26" x14ac:dyDescent="0.25">
      <c r="B10" s="195"/>
      <c r="C10" s="48" t="s">
        <v>140</v>
      </c>
      <c r="D10" s="49" t="s">
        <v>141</v>
      </c>
      <c r="E10" s="96">
        <v>8</v>
      </c>
      <c r="F10" s="50">
        <v>10</v>
      </c>
      <c r="G10" s="17">
        <f>E10*23.2/100</f>
        <v>1.8559999999999999</v>
      </c>
      <c r="H10" s="30">
        <f>F10*23.2/100</f>
        <v>2.3199999999999998</v>
      </c>
      <c r="I10" s="17">
        <f>E10*29.5/100</f>
        <v>2.36</v>
      </c>
      <c r="J10" s="30">
        <f>F10*29.5/100</f>
        <v>2.95</v>
      </c>
      <c r="K10" s="17">
        <f>E10*0/100</f>
        <v>0</v>
      </c>
      <c r="L10" s="30">
        <f>F10*0/100</f>
        <v>0</v>
      </c>
      <c r="M10" s="17">
        <f t="shared" si="0"/>
        <v>28.663999999999998</v>
      </c>
      <c r="N10" s="32">
        <f t="shared" si="0"/>
        <v>35.83</v>
      </c>
    </row>
    <row r="11" spans="2:26" x14ac:dyDescent="0.25">
      <c r="B11" s="195"/>
      <c r="C11" s="15" t="s">
        <v>87</v>
      </c>
      <c r="D11" s="9" t="s">
        <v>88</v>
      </c>
      <c r="E11" s="99">
        <v>200</v>
      </c>
      <c r="F11" s="28">
        <v>200</v>
      </c>
      <c r="G11" s="17">
        <f>E11*1.4/200</f>
        <v>1.4</v>
      </c>
      <c r="H11" s="30">
        <f>F11*1.4/200</f>
        <v>1.4</v>
      </c>
      <c r="I11" s="17">
        <f>E11*1.2/200</f>
        <v>1.2</v>
      </c>
      <c r="J11" s="30">
        <f>F11*1.2/200</f>
        <v>1.2</v>
      </c>
      <c r="K11" s="17">
        <f>E11*11.4/200</f>
        <v>11.4</v>
      </c>
      <c r="L11" s="30">
        <f>F11*11.4/200</f>
        <v>11.4</v>
      </c>
      <c r="M11" s="17">
        <f t="shared" si="0"/>
        <v>62</v>
      </c>
      <c r="N11" s="32">
        <f t="shared" si="0"/>
        <v>62</v>
      </c>
    </row>
    <row r="12" spans="2:26" x14ac:dyDescent="0.25">
      <c r="B12" s="195"/>
      <c r="C12" s="23"/>
      <c r="D12" s="4" t="s">
        <v>13</v>
      </c>
      <c r="E12" s="21">
        <f t="shared" ref="E12:L12" si="1">SUM(E8:E11)</f>
        <v>373</v>
      </c>
      <c r="F12" s="29">
        <f t="shared" si="1"/>
        <v>400</v>
      </c>
      <c r="G12" s="7">
        <f t="shared" si="1"/>
        <v>8.6560000000000006</v>
      </c>
      <c r="H12" s="31">
        <f t="shared" si="1"/>
        <v>10</v>
      </c>
      <c r="I12" s="7">
        <f t="shared" si="1"/>
        <v>8.2119999999999997</v>
      </c>
      <c r="J12" s="31">
        <f t="shared" si="1"/>
        <v>9.4779999999999998</v>
      </c>
      <c r="K12" s="7">
        <f t="shared" si="1"/>
        <v>45.68</v>
      </c>
      <c r="L12" s="31">
        <f t="shared" si="1"/>
        <v>51.28</v>
      </c>
      <c r="M12" s="7">
        <f>G12*4+I12*9+K12*4</f>
        <v>291.25200000000001</v>
      </c>
      <c r="N12" s="33">
        <f t="shared" si="0"/>
        <v>330.42200000000003</v>
      </c>
    </row>
    <row r="13" spans="2:26" x14ac:dyDescent="0.25">
      <c r="B13" s="195"/>
      <c r="C13" s="178" t="s">
        <v>79</v>
      </c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80"/>
    </row>
    <row r="14" spans="2:26" x14ac:dyDescent="0.25">
      <c r="B14" s="195"/>
      <c r="C14" s="16" t="s">
        <v>172</v>
      </c>
      <c r="D14" s="6" t="s">
        <v>173</v>
      </c>
      <c r="E14" s="99">
        <v>150</v>
      </c>
      <c r="F14" s="28">
        <v>150</v>
      </c>
      <c r="G14" s="17">
        <f>E14*0.4/100</f>
        <v>0.6</v>
      </c>
      <c r="H14" s="30">
        <f>F14*0.4/100</f>
        <v>0.6</v>
      </c>
      <c r="I14" s="17">
        <f>E14*0.4/100</f>
        <v>0.6</v>
      </c>
      <c r="J14" s="30">
        <f>F14*0.4/100</f>
        <v>0.6</v>
      </c>
      <c r="K14" s="17">
        <f>E14*9.8/100</f>
        <v>14.7</v>
      </c>
      <c r="L14" s="30">
        <f>F14*9.8/100</f>
        <v>14.7</v>
      </c>
      <c r="M14" s="17">
        <f t="shared" ref="M14:N14" si="2">G14*4+I14*9+K14*4</f>
        <v>66.599999999999994</v>
      </c>
      <c r="N14" s="32">
        <f t="shared" si="2"/>
        <v>66.599999999999994</v>
      </c>
    </row>
    <row r="15" spans="2:26" x14ac:dyDescent="0.25">
      <c r="B15" s="195"/>
      <c r="C15" s="15"/>
      <c r="D15" s="4" t="s">
        <v>80</v>
      </c>
      <c r="E15" s="21">
        <f t="shared" ref="E15:L15" si="3">SUM(E14)</f>
        <v>150</v>
      </c>
      <c r="F15" s="29">
        <f t="shared" si="3"/>
        <v>150</v>
      </c>
      <c r="G15" s="7">
        <f t="shared" si="3"/>
        <v>0.6</v>
      </c>
      <c r="H15" s="31">
        <f t="shared" si="3"/>
        <v>0.6</v>
      </c>
      <c r="I15" s="7">
        <f t="shared" si="3"/>
        <v>0.6</v>
      </c>
      <c r="J15" s="31">
        <f t="shared" si="3"/>
        <v>0.6</v>
      </c>
      <c r="K15" s="7">
        <f t="shared" si="3"/>
        <v>14.7</v>
      </c>
      <c r="L15" s="31">
        <f t="shared" si="3"/>
        <v>14.7</v>
      </c>
      <c r="M15" s="7">
        <f>G15*4+I15*9+K15*4</f>
        <v>66.599999999999994</v>
      </c>
      <c r="N15" s="33">
        <f>H15*4+J15*9+L15*4</f>
        <v>66.599999999999994</v>
      </c>
    </row>
    <row r="16" spans="2:26" x14ac:dyDescent="0.25">
      <c r="B16" s="195"/>
      <c r="C16" s="178" t="s">
        <v>9</v>
      </c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80"/>
    </row>
    <row r="17" spans="2:14" x14ac:dyDescent="0.25">
      <c r="B17" s="195"/>
      <c r="C17" s="15" t="s">
        <v>209</v>
      </c>
      <c r="D17" s="8" t="s">
        <v>211</v>
      </c>
      <c r="E17" s="100">
        <v>30</v>
      </c>
      <c r="F17" s="39">
        <v>50</v>
      </c>
      <c r="G17" s="19">
        <f>E17*1.4/100</f>
        <v>0.42</v>
      </c>
      <c r="H17" s="40">
        <f>F17*1.4/100</f>
        <v>0.7</v>
      </c>
      <c r="I17" s="19">
        <f>E17*6.1/100</f>
        <v>1.83</v>
      </c>
      <c r="J17" s="40">
        <f>F17*6.1/100</f>
        <v>3.05</v>
      </c>
      <c r="K17" s="19">
        <f>E17*12.1/100</f>
        <v>3.63</v>
      </c>
      <c r="L17" s="40">
        <f>F17*12.1/100</f>
        <v>6.05</v>
      </c>
      <c r="M17" s="19">
        <f>G17*4+I17*9+K17*4</f>
        <v>32.67</v>
      </c>
      <c r="N17" s="37">
        <f t="shared" ref="N17" si="4">H17*4+J17*9+L17*4</f>
        <v>54.45</v>
      </c>
    </row>
    <row r="18" spans="2:14" x14ac:dyDescent="0.25">
      <c r="B18" s="195"/>
      <c r="C18" s="46" t="s">
        <v>92</v>
      </c>
      <c r="D18" s="9" t="s">
        <v>93</v>
      </c>
      <c r="E18" s="96">
        <v>150</v>
      </c>
      <c r="F18" s="34">
        <v>180</v>
      </c>
      <c r="G18" s="17">
        <f>E18*1.05/100</f>
        <v>1.575</v>
      </c>
      <c r="H18" s="30">
        <f>F18*1.05/100</f>
        <v>1.89</v>
      </c>
      <c r="I18" s="17">
        <f>E18*2.04/100</f>
        <v>3.06</v>
      </c>
      <c r="J18" s="30">
        <f>F18*2.04/100</f>
        <v>3.6719999999999997</v>
      </c>
      <c r="K18" s="17">
        <f>E18*5.3/100</f>
        <v>7.95</v>
      </c>
      <c r="L18" s="30">
        <f>F18*5.3/100</f>
        <v>9.5399999999999991</v>
      </c>
      <c r="M18" s="19">
        <f t="shared" ref="M18:N23" si="5">G18*4+I18*9+K18*4</f>
        <v>65.64</v>
      </c>
      <c r="N18" s="37">
        <f t="shared" si="5"/>
        <v>78.768000000000001</v>
      </c>
    </row>
    <row r="19" spans="2:14" x14ac:dyDescent="0.25">
      <c r="B19" s="195"/>
      <c r="C19" s="15" t="s">
        <v>19</v>
      </c>
      <c r="D19" s="9" t="s">
        <v>20</v>
      </c>
      <c r="E19" s="96">
        <v>120</v>
      </c>
      <c r="F19" s="28">
        <v>150</v>
      </c>
      <c r="G19" s="17">
        <f>E19*2.1/100</f>
        <v>2.52</v>
      </c>
      <c r="H19" s="30">
        <f>F19*2.1/100</f>
        <v>3.15</v>
      </c>
      <c r="I19" s="17">
        <f>E19*3.5/100</f>
        <v>4.2</v>
      </c>
      <c r="J19" s="30">
        <f>F19*3.5/100</f>
        <v>5.25</v>
      </c>
      <c r="K19" s="17">
        <f>E19*14.6/100</f>
        <v>17.52</v>
      </c>
      <c r="L19" s="30">
        <f>F19*14.6/100</f>
        <v>21.9</v>
      </c>
      <c r="M19" s="17">
        <f t="shared" si="5"/>
        <v>117.96000000000001</v>
      </c>
      <c r="N19" s="32">
        <f t="shared" si="5"/>
        <v>147.44999999999999</v>
      </c>
    </row>
    <row r="20" spans="2:14" x14ac:dyDescent="0.25">
      <c r="B20" s="195"/>
      <c r="C20" s="15" t="s">
        <v>170</v>
      </c>
      <c r="D20" s="9" t="s">
        <v>171</v>
      </c>
      <c r="E20" s="96">
        <v>50</v>
      </c>
      <c r="F20" s="28">
        <v>70</v>
      </c>
      <c r="G20" s="17">
        <f>E20*13.3/100</f>
        <v>6.65</v>
      </c>
      <c r="H20" s="30">
        <f>F20*13.3/100</f>
        <v>9.31</v>
      </c>
      <c r="I20" s="17">
        <f>E20*2/100</f>
        <v>1</v>
      </c>
      <c r="J20" s="30">
        <f>F20*2/100</f>
        <v>1.4</v>
      </c>
      <c r="K20" s="17">
        <f>E20*13/100</f>
        <v>6.5</v>
      </c>
      <c r="L20" s="30">
        <f>F20*13/100</f>
        <v>9.1</v>
      </c>
      <c r="M20" s="17">
        <f t="shared" si="5"/>
        <v>61.6</v>
      </c>
      <c r="N20" s="32">
        <f t="shared" si="5"/>
        <v>86.240000000000009</v>
      </c>
    </row>
    <row r="21" spans="2:14" x14ac:dyDescent="0.25">
      <c r="B21" s="195"/>
      <c r="C21" s="15" t="s">
        <v>48</v>
      </c>
      <c r="D21" s="9" t="s">
        <v>49</v>
      </c>
      <c r="E21" s="96">
        <v>150</v>
      </c>
      <c r="F21" s="28">
        <v>180</v>
      </c>
      <c r="G21" s="17">
        <f>E21*0.6/200</f>
        <v>0.45</v>
      </c>
      <c r="H21" s="30">
        <f>F21*0.6/200</f>
        <v>0.54</v>
      </c>
      <c r="I21" s="17">
        <f t="shared" ref="I21:J21" si="6">E21*0.1/200</f>
        <v>7.4999999999999997E-2</v>
      </c>
      <c r="J21" s="30">
        <f t="shared" si="6"/>
        <v>0.09</v>
      </c>
      <c r="K21" s="17">
        <f>E21*20.1/200</f>
        <v>15.074999999999999</v>
      </c>
      <c r="L21" s="30">
        <f>F21*20.1/200</f>
        <v>18.090000000000003</v>
      </c>
      <c r="M21" s="17">
        <f t="shared" si="5"/>
        <v>62.774999999999999</v>
      </c>
      <c r="N21" s="32">
        <f t="shared" si="5"/>
        <v>75.330000000000013</v>
      </c>
    </row>
    <row r="22" spans="2:14" x14ac:dyDescent="0.25">
      <c r="B22" s="195"/>
      <c r="C22" s="16" t="s">
        <v>139</v>
      </c>
      <c r="D22" s="6" t="s">
        <v>22</v>
      </c>
      <c r="E22" s="65">
        <v>25</v>
      </c>
      <c r="F22" s="62">
        <v>30</v>
      </c>
      <c r="G22" s="17">
        <f>E22*8/100</f>
        <v>2</v>
      </c>
      <c r="H22" s="30">
        <f>F22*8/100</f>
        <v>2.4</v>
      </c>
      <c r="I22" s="17">
        <f>E22*1.5/100</f>
        <v>0.375</v>
      </c>
      <c r="J22" s="30">
        <f>F22*1.5/100</f>
        <v>0.45</v>
      </c>
      <c r="K22" s="17">
        <f>E22*40.1/100</f>
        <v>10.025</v>
      </c>
      <c r="L22" s="30">
        <f>F22*40.1/100</f>
        <v>12.03</v>
      </c>
      <c r="M22" s="17">
        <f t="shared" si="5"/>
        <v>51.475000000000001</v>
      </c>
      <c r="N22" s="32">
        <f t="shared" si="5"/>
        <v>61.769999999999996</v>
      </c>
    </row>
    <row r="23" spans="2:14" x14ac:dyDescent="0.25">
      <c r="B23" s="195"/>
      <c r="C23" s="16" t="s">
        <v>137</v>
      </c>
      <c r="D23" s="6" t="s">
        <v>138</v>
      </c>
      <c r="E23" s="65">
        <v>25</v>
      </c>
      <c r="F23" s="62">
        <v>30</v>
      </c>
      <c r="G23" s="17">
        <f>E23*7.6/100</f>
        <v>1.9</v>
      </c>
      <c r="H23" s="30">
        <f>F23*7.6/100</f>
        <v>2.2799999999999998</v>
      </c>
      <c r="I23" s="17">
        <f>E23*0.8/100</f>
        <v>0.2</v>
      </c>
      <c r="J23" s="30">
        <f>F23*0.8/100</f>
        <v>0.24</v>
      </c>
      <c r="K23" s="17">
        <f>E23*49.2/100</f>
        <v>12.3</v>
      </c>
      <c r="L23" s="30">
        <f>F23*49.2/100</f>
        <v>14.76</v>
      </c>
      <c r="M23" s="17">
        <f t="shared" si="5"/>
        <v>58.6</v>
      </c>
      <c r="N23" s="32">
        <f t="shared" si="5"/>
        <v>70.319999999999993</v>
      </c>
    </row>
    <row r="24" spans="2:14" x14ac:dyDescent="0.25">
      <c r="B24" s="195"/>
      <c r="C24" s="16"/>
      <c r="D24" s="4" t="s">
        <v>14</v>
      </c>
      <c r="E24" s="21">
        <f t="shared" ref="E24:N24" si="7">SUM(E17:E23)</f>
        <v>550</v>
      </c>
      <c r="F24" s="35">
        <f t="shared" si="7"/>
        <v>690</v>
      </c>
      <c r="G24" s="7">
        <f t="shared" si="7"/>
        <v>15.514999999999999</v>
      </c>
      <c r="H24" s="31">
        <f t="shared" si="7"/>
        <v>20.27</v>
      </c>
      <c r="I24" s="7">
        <f t="shared" si="7"/>
        <v>10.739999999999998</v>
      </c>
      <c r="J24" s="31">
        <f t="shared" si="7"/>
        <v>14.151999999999999</v>
      </c>
      <c r="K24" s="7">
        <f t="shared" si="7"/>
        <v>73</v>
      </c>
      <c r="L24" s="31">
        <f t="shared" si="7"/>
        <v>91.470000000000013</v>
      </c>
      <c r="M24" s="7">
        <f t="shared" si="7"/>
        <v>450.72</v>
      </c>
      <c r="N24" s="33">
        <f t="shared" si="7"/>
        <v>574.32799999999997</v>
      </c>
    </row>
    <row r="25" spans="2:14" x14ac:dyDescent="0.25">
      <c r="B25" s="195"/>
      <c r="C25" s="191" t="s">
        <v>84</v>
      </c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3"/>
    </row>
    <row r="26" spans="2:14" x14ac:dyDescent="0.25">
      <c r="B26" s="195"/>
      <c r="C26" s="97" t="s">
        <v>124</v>
      </c>
      <c r="D26" s="87" t="s">
        <v>125</v>
      </c>
      <c r="E26" s="96">
        <v>60</v>
      </c>
      <c r="F26" s="27">
        <v>70</v>
      </c>
      <c r="G26" s="17">
        <f>E26*17.1/100</f>
        <v>10.26</v>
      </c>
      <c r="H26" s="30">
        <f>F26*17.1/100</f>
        <v>11.97</v>
      </c>
      <c r="I26" s="17">
        <f>E26*12.2/100</f>
        <v>7.32</v>
      </c>
      <c r="J26" s="30">
        <f>F26*12.2/100</f>
        <v>8.5399999999999991</v>
      </c>
      <c r="K26" s="17">
        <f>E26*15.5/100</f>
        <v>9.3000000000000007</v>
      </c>
      <c r="L26" s="30">
        <f>F26*15.5/100</f>
        <v>10.85</v>
      </c>
      <c r="M26" s="17">
        <f t="shared" ref="M26:N28" si="8">G26*4+I26*9+K26*4</f>
        <v>144.12</v>
      </c>
      <c r="N26" s="32">
        <f t="shared" si="8"/>
        <v>168.14</v>
      </c>
    </row>
    <row r="27" spans="2:14" x14ac:dyDescent="0.25">
      <c r="B27" s="195"/>
      <c r="C27" s="16" t="s">
        <v>36</v>
      </c>
      <c r="D27" s="49" t="s">
        <v>86</v>
      </c>
      <c r="E27" s="99">
        <v>15</v>
      </c>
      <c r="F27" s="50">
        <v>20</v>
      </c>
      <c r="G27" s="20">
        <f>E27*0/10</f>
        <v>0</v>
      </c>
      <c r="H27" s="63">
        <f>F27*0/10</f>
        <v>0</v>
      </c>
      <c r="I27" s="20">
        <f>E27*0/10</f>
        <v>0</v>
      </c>
      <c r="J27" s="63">
        <f>F27*0/10</f>
        <v>0</v>
      </c>
      <c r="K27" s="17">
        <f>E27*61/100</f>
        <v>9.15</v>
      </c>
      <c r="L27" s="30">
        <f>F27*61/100</f>
        <v>12.2</v>
      </c>
      <c r="M27" s="17">
        <f t="shared" si="8"/>
        <v>36.6</v>
      </c>
      <c r="N27" s="32">
        <f t="shared" si="8"/>
        <v>48.8</v>
      </c>
    </row>
    <row r="28" spans="2:14" x14ac:dyDescent="0.25">
      <c r="B28" s="195"/>
      <c r="C28" s="15" t="s">
        <v>45</v>
      </c>
      <c r="D28" s="9" t="s">
        <v>217</v>
      </c>
      <c r="E28" s="101">
        <v>200</v>
      </c>
      <c r="F28" s="28">
        <v>200</v>
      </c>
      <c r="G28" s="17">
        <f>E28*0.2/200</f>
        <v>0.2</v>
      </c>
      <c r="H28" s="30">
        <f>F28*0.2/200</f>
        <v>0.2</v>
      </c>
      <c r="I28" s="17">
        <f t="shared" ref="I28:J28" si="9">E28*0.1/200</f>
        <v>0.1</v>
      </c>
      <c r="J28" s="30">
        <f t="shared" si="9"/>
        <v>0.1</v>
      </c>
      <c r="K28" s="17">
        <f>E28*9.3/200</f>
        <v>9.3000000000000007</v>
      </c>
      <c r="L28" s="30">
        <f>F28*9.3/200</f>
        <v>9.3000000000000007</v>
      </c>
      <c r="M28" s="17">
        <f t="shared" si="8"/>
        <v>38.900000000000006</v>
      </c>
      <c r="N28" s="32">
        <f t="shared" si="8"/>
        <v>38.900000000000006</v>
      </c>
    </row>
    <row r="29" spans="2:14" x14ac:dyDescent="0.25">
      <c r="B29" s="195"/>
      <c r="C29" s="44"/>
      <c r="D29" s="51" t="s">
        <v>81</v>
      </c>
      <c r="E29" s="52">
        <f t="shared" ref="E29:N29" si="10">SUM(E26:E28)</f>
        <v>275</v>
      </c>
      <c r="F29" s="53">
        <f t="shared" si="10"/>
        <v>290</v>
      </c>
      <c r="G29" s="54">
        <f t="shared" si="10"/>
        <v>10.459999999999999</v>
      </c>
      <c r="H29" s="55">
        <f t="shared" si="10"/>
        <v>12.17</v>
      </c>
      <c r="I29" s="54">
        <f t="shared" si="10"/>
        <v>7.42</v>
      </c>
      <c r="J29" s="55">
        <f t="shared" si="10"/>
        <v>8.6399999999999988</v>
      </c>
      <c r="K29" s="54">
        <f t="shared" si="10"/>
        <v>27.750000000000004</v>
      </c>
      <c r="L29" s="55">
        <f t="shared" si="10"/>
        <v>32.349999999999994</v>
      </c>
      <c r="M29" s="54">
        <f t="shared" si="10"/>
        <v>219.62</v>
      </c>
      <c r="N29" s="56">
        <f t="shared" si="10"/>
        <v>255.84</v>
      </c>
    </row>
    <row r="30" spans="2:14" ht="15.75" thickBot="1" x14ac:dyDescent="0.3">
      <c r="B30" s="196"/>
      <c r="C30" s="22"/>
      <c r="D30" s="13" t="s">
        <v>12</v>
      </c>
      <c r="E30" s="18"/>
      <c r="F30" s="45"/>
      <c r="G30" s="14">
        <f t="shared" ref="G30:N30" si="11">G29+G24+G15+G12</f>
        <v>35.231000000000002</v>
      </c>
      <c r="H30" s="36">
        <f t="shared" si="11"/>
        <v>43.04</v>
      </c>
      <c r="I30" s="14">
        <f t="shared" si="11"/>
        <v>26.971999999999998</v>
      </c>
      <c r="J30" s="36">
        <f t="shared" si="11"/>
        <v>32.869999999999997</v>
      </c>
      <c r="K30" s="14">
        <f t="shared" si="11"/>
        <v>161.13</v>
      </c>
      <c r="L30" s="36">
        <f t="shared" si="11"/>
        <v>189.8</v>
      </c>
      <c r="M30" s="14">
        <f t="shared" si="11"/>
        <v>1028.192</v>
      </c>
      <c r="N30" s="38">
        <f t="shared" si="11"/>
        <v>1227.19</v>
      </c>
    </row>
    <row r="31" spans="2:14" x14ac:dyDescent="0.25">
      <c r="B31" s="172"/>
      <c r="C31" s="172"/>
      <c r="D31" s="172"/>
      <c r="E31" s="172"/>
    </row>
    <row r="33" spans="4:6" x14ac:dyDescent="0.25">
      <c r="D33" s="12" t="s">
        <v>23</v>
      </c>
    </row>
    <row r="36" spans="4:6" x14ac:dyDescent="0.25">
      <c r="F36" s="12" t="s">
        <v>23</v>
      </c>
    </row>
    <row r="42" spans="4:6" x14ac:dyDescent="0.25">
      <c r="F42" s="1"/>
    </row>
    <row r="50" spans="10:10" x14ac:dyDescent="0.25">
      <c r="J50" s="1"/>
    </row>
  </sheetData>
  <mergeCells count="16">
    <mergeCell ref="M4:N5"/>
    <mergeCell ref="G5:H5"/>
    <mergeCell ref="B3:E3"/>
    <mergeCell ref="B31:E31"/>
    <mergeCell ref="I5:J5"/>
    <mergeCell ref="K5:L5"/>
    <mergeCell ref="B4:B6"/>
    <mergeCell ref="C4:C6"/>
    <mergeCell ref="D4:D6"/>
    <mergeCell ref="E4:F5"/>
    <mergeCell ref="G4:L4"/>
    <mergeCell ref="B7:B30"/>
    <mergeCell ref="C7:N7"/>
    <mergeCell ref="C13:N13"/>
    <mergeCell ref="C16:N16"/>
    <mergeCell ref="C25:N25"/>
  </mergeCells>
  <pageMargins left="0.7" right="0.7" top="0.75" bottom="0.75" header="0.3" footer="0.3"/>
  <pageSetup paperSize="9" scale="9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B3:Z31"/>
  <sheetViews>
    <sheetView zoomScale="90" zoomScaleNormal="90" zoomScalePageLayoutView="90" workbookViewId="0">
      <selection activeCell="F18" sqref="F18"/>
    </sheetView>
  </sheetViews>
  <sheetFormatPr defaultColWidth="9.140625" defaultRowHeight="15" x14ac:dyDescent="0.25"/>
  <cols>
    <col min="1" max="1" width="5.42578125" style="12" customWidth="1"/>
    <col min="2" max="2" width="2.7109375" style="12" customWidth="1"/>
    <col min="3" max="3" width="10.5703125" style="12" customWidth="1"/>
    <col min="4" max="4" width="35.28515625" style="12" customWidth="1"/>
    <col min="5" max="6" width="7.28515625" style="12" customWidth="1"/>
    <col min="7" max="7" width="6.7109375" style="12" customWidth="1"/>
    <col min="8" max="8" width="6.85546875" style="12" customWidth="1"/>
    <col min="9" max="9" width="6.42578125" style="12" customWidth="1"/>
    <col min="10" max="10" width="6.5703125" style="12" customWidth="1"/>
    <col min="11" max="11" width="7.5703125" style="12" customWidth="1"/>
    <col min="12" max="12" width="7.42578125" style="12" customWidth="1"/>
    <col min="13" max="13" width="8.5703125" style="12" customWidth="1"/>
    <col min="14" max="14" width="7.5703125" style="12" customWidth="1"/>
    <col min="15" max="15" width="9" style="12" customWidth="1"/>
    <col min="16" max="16" width="7.28515625" style="12" customWidth="1"/>
    <col min="17" max="20" width="9.140625" style="12"/>
    <col min="21" max="21" width="19.7109375" style="12" customWidth="1"/>
    <col min="22" max="22" width="7.7109375" style="12" customWidth="1"/>
    <col min="23" max="23" width="9.140625" style="12"/>
    <col min="24" max="24" width="7.7109375" style="12" customWidth="1"/>
    <col min="25" max="16384" width="9.140625" style="12"/>
  </cols>
  <sheetData>
    <row r="3" spans="2:26" ht="17.25" customHeight="1" thickBot="1" x14ac:dyDescent="0.3">
      <c r="B3" s="172" t="s">
        <v>18</v>
      </c>
      <c r="C3" s="172"/>
      <c r="D3" s="172"/>
      <c r="E3" s="172"/>
      <c r="O3" s="2"/>
      <c r="P3" s="2"/>
      <c r="Q3" s="1"/>
      <c r="R3" s="1"/>
      <c r="S3" s="1"/>
      <c r="T3" s="1"/>
      <c r="U3" s="2"/>
      <c r="V3" s="2"/>
      <c r="W3" s="1"/>
      <c r="X3" s="1"/>
      <c r="Y3" s="1"/>
      <c r="Z3" s="1"/>
    </row>
    <row r="4" spans="2:26" ht="15" customHeight="1" x14ac:dyDescent="0.25">
      <c r="B4" s="197" t="s">
        <v>39</v>
      </c>
      <c r="C4" s="181" t="s">
        <v>0</v>
      </c>
      <c r="D4" s="184" t="s">
        <v>1</v>
      </c>
      <c r="E4" s="187" t="s">
        <v>6</v>
      </c>
      <c r="F4" s="188"/>
      <c r="G4" s="200" t="s">
        <v>7</v>
      </c>
      <c r="H4" s="200"/>
      <c r="I4" s="200"/>
      <c r="J4" s="200"/>
      <c r="K4" s="200"/>
      <c r="L4" s="200"/>
      <c r="M4" s="201" t="s">
        <v>5</v>
      </c>
      <c r="N4" s="202"/>
      <c r="O4" s="1"/>
      <c r="P4" s="3"/>
      <c r="Q4" s="5"/>
      <c r="R4" s="5"/>
      <c r="S4" s="5"/>
      <c r="T4" s="5"/>
      <c r="U4" s="1"/>
      <c r="V4" s="3"/>
      <c r="W4" s="5"/>
      <c r="X4" s="5"/>
      <c r="Y4" s="5"/>
      <c r="Z4" s="5"/>
    </row>
    <row r="5" spans="2:26" x14ac:dyDescent="0.25">
      <c r="B5" s="198"/>
      <c r="C5" s="182"/>
      <c r="D5" s="185"/>
      <c r="E5" s="189"/>
      <c r="F5" s="190"/>
      <c r="G5" s="205" t="s">
        <v>3</v>
      </c>
      <c r="H5" s="205"/>
      <c r="I5" s="203" t="s">
        <v>2</v>
      </c>
      <c r="J5" s="203"/>
      <c r="K5" s="205" t="s">
        <v>4</v>
      </c>
      <c r="L5" s="205"/>
      <c r="M5" s="203"/>
      <c r="N5" s="204"/>
      <c r="O5" s="1"/>
      <c r="P5" s="3"/>
      <c r="Q5" s="5"/>
      <c r="R5" s="5"/>
      <c r="S5" s="5"/>
      <c r="T5" s="5"/>
      <c r="U5" s="1"/>
      <c r="V5" s="3"/>
      <c r="W5" s="5"/>
      <c r="X5" s="5"/>
      <c r="Y5" s="5"/>
      <c r="Z5" s="5"/>
    </row>
    <row r="6" spans="2:26" ht="27.75" customHeight="1" thickBot="1" x14ac:dyDescent="0.3">
      <c r="B6" s="199"/>
      <c r="C6" s="183"/>
      <c r="D6" s="186"/>
      <c r="E6" s="58" t="s">
        <v>82</v>
      </c>
      <c r="F6" s="59" t="s">
        <v>83</v>
      </c>
      <c r="G6" s="58" t="s">
        <v>82</v>
      </c>
      <c r="H6" s="60" t="s">
        <v>83</v>
      </c>
      <c r="I6" s="58" t="s">
        <v>82</v>
      </c>
      <c r="J6" s="60" t="s">
        <v>83</v>
      </c>
      <c r="K6" s="58" t="s">
        <v>82</v>
      </c>
      <c r="L6" s="60" t="s">
        <v>83</v>
      </c>
      <c r="M6" s="58" t="s">
        <v>82</v>
      </c>
      <c r="N6" s="61" t="s">
        <v>83</v>
      </c>
      <c r="O6" s="1"/>
      <c r="P6" s="3"/>
      <c r="Q6" s="5"/>
      <c r="R6" s="5"/>
      <c r="S6" s="5"/>
      <c r="T6" s="5"/>
      <c r="U6" s="1"/>
      <c r="V6" s="3"/>
      <c r="W6" s="5"/>
      <c r="X6" s="5"/>
      <c r="Y6" s="5"/>
      <c r="Z6" s="5"/>
    </row>
    <row r="7" spans="2:26" ht="14.25" customHeight="1" x14ac:dyDescent="0.25">
      <c r="B7" s="194" t="s">
        <v>40</v>
      </c>
      <c r="C7" s="175" t="s">
        <v>8</v>
      </c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7"/>
      <c r="O7" s="1"/>
      <c r="P7" s="3"/>
      <c r="Q7" s="5"/>
      <c r="R7" s="5"/>
      <c r="S7" s="5"/>
      <c r="T7" s="5"/>
      <c r="U7" s="1"/>
      <c r="V7" s="3"/>
      <c r="W7" s="5"/>
      <c r="X7" s="5"/>
      <c r="Y7" s="5"/>
      <c r="Z7" s="5"/>
    </row>
    <row r="8" spans="2:26" ht="14.25" customHeight="1" x14ac:dyDescent="0.25">
      <c r="B8" s="195"/>
      <c r="C8" s="15" t="s">
        <v>153</v>
      </c>
      <c r="D8" s="8" t="s">
        <v>85</v>
      </c>
      <c r="E8" s="99">
        <v>140</v>
      </c>
      <c r="F8" s="27">
        <v>160</v>
      </c>
      <c r="G8" s="17">
        <f>E8*3.5/100</f>
        <v>4.9000000000000004</v>
      </c>
      <c r="H8" s="30">
        <f>F8*3.5/100</f>
        <v>5.6</v>
      </c>
      <c r="I8" s="17">
        <f>E8*4.13/100</f>
        <v>5.7819999999999991</v>
      </c>
      <c r="J8" s="30">
        <f>F8*4.13/100</f>
        <v>6.6079999999999997</v>
      </c>
      <c r="K8" s="17">
        <f>E8*14.21/100</f>
        <v>19.894000000000002</v>
      </c>
      <c r="L8" s="30">
        <f>F8*14.21/100</f>
        <v>22.736000000000004</v>
      </c>
      <c r="M8" s="17">
        <f t="shared" ref="M8:N9" si="0">G8*4+I8*9+K8*4</f>
        <v>151.214</v>
      </c>
      <c r="N8" s="32">
        <f t="shared" si="0"/>
        <v>172.816</v>
      </c>
      <c r="O8" s="1"/>
      <c r="P8" s="3"/>
      <c r="Q8" s="5"/>
      <c r="R8" s="5"/>
      <c r="S8" s="5"/>
      <c r="T8" s="5"/>
      <c r="U8" s="1"/>
      <c r="V8" s="3"/>
      <c r="W8" s="5"/>
      <c r="X8" s="5"/>
      <c r="Y8" s="5"/>
      <c r="Z8" s="5"/>
    </row>
    <row r="9" spans="2:26" ht="14.25" customHeight="1" x14ac:dyDescent="0.25">
      <c r="B9" s="195"/>
      <c r="C9" s="16" t="s">
        <v>137</v>
      </c>
      <c r="D9" s="6" t="s">
        <v>138</v>
      </c>
      <c r="E9" s="65">
        <v>25</v>
      </c>
      <c r="F9" s="62">
        <v>30</v>
      </c>
      <c r="G9" s="17">
        <f>E9*7.6/100</f>
        <v>1.9</v>
      </c>
      <c r="H9" s="30">
        <f>F9*7.6/100</f>
        <v>2.2799999999999998</v>
      </c>
      <c r="I9" s="17">
        <f>E9*0.8/100</f>
        <v>0.2</v>
      </c>
      <c r="J9" s="30">
        <f>F9*0.8/100</f>
        <v>0.24</v>
      </c>
      <c r="K9" s="17">
        <f>E9*49.2/100</f>
        <v>12.3</v>
      </c>
      <c r="L9" s="30">
        <f>F9*49.2/100</f>
        <v>14.76</v>
      </c>
      <c r="M9" s="17">
        <f t="shared" si="0"/>
        <v>58.6</v>
      </c>
      <c r="N9" s="32">
        <f t="shared" si="0"/>
        <v>70.319999999999993</v>
      </c>
      <c r="O9" s="1"/>
      <c r="P9" s="3"/>
      <c r="Q9" s="5"/>
      <c r="R9" s="5"/>
      <c r="S9" s="5"/>
      <c r="T9" s="5"/>
      <c r="U9" s="1"/>
      <c r="V9" s="3"/>
      <c r="W9" s="5"/>
      <c r="X9" s="5"/>
      <c r="Y9" s="5"/>
      <c r="Z9" s="5"/>
    </row>
    <row r="10" spans="2:26" ht="14.25" customHeight="1" x14ac:dyDescent="0.25">
      <c r="B10" s="195"/>
      <c r="C10" s="16" t="s">
        <v>36</v>
      </c>
      <c r="D10" s="49" t="s">
        <v>86</v>
      </c>
      <c r="E10" s="41">
        <v>10</v>
      </c>
      <c r="F10" s="50">
        <v>10</v>
      </c>
      <c r="G10" s="20">
        <f>E10*0/10</f>
        <v>0</v>
      </c>
      <c r="H10" s="63">
        <f>F10*0/10</f>
        <v>0</v>
      </c>
      <c r="I10" s="20">
        <f>E10*0/10</f>
        <v>0</v>
      </c>
      <c r="J10" s="63">
        <f>F10*0/10</f>
        <v>0</v>
      </c>
      <c r="K10" s="17">
        <f>E10*61/100</f>
        <v>6.1</v>
      </c>
      <c r="L10" s="30">
        <f>F10*61/100</f>
        <v>6.1</v>
      </c>
      <c r="M10" s="17">
        <f t="shared" ref="M10:N12" si="1">G10*4+I10*9+K10*4</f>
        <v>24.4</v>
      </c>
      <c r="N10" s="32">
        <f t="shared" si="1"/>
        <v>24.4</v>
      </c>
      <c r="O10" s="1"/>
      <c r="P10" s="3"/>
      <c r="Q10" s="5"/>
      <c r="R10" s="5"/>
      <c r="S10" s="5"/>
      <c r="T10" s="5"/>
      <c r="U10" s="1"/>
      <c r="V10" s="3"/>
      <c r="W10" s="5"/>
      <c r="X10" s="5"/>
      <c r="Y10" s="5"/>
      <c r="Z10" s="5"/>
    </row>
    <row r="11" spans="2:26" ht="14.25" customHeight="1" x14ac:dyDescent="0.25">
      <c r="B11" s="195"/>
      <c r="C11" s="15" t="s">
        <v>89</v>
      </c>
      <c r="D11" s="9" t="s">
        <v>90</v>
      </c>
      <c r="E11" s="99">
        <v>200</v>
      </c>
      <c r="F11" s="28">
        <v>200</v>
      </c>
      <c r="G11" s="17">
        <f>E11*1.65/100</f>
        <v>3.3</v>
      </c>
      <c r="H11" s="30">
        <f>F11*1.65/100</f>
        <v>3.3</v>
      </c>
      <c r="I11" s="17">
        <f>E11*1.45/100</f>
        <v>2.9</v>
      </c>
      <c r="J11" s="30">
        <f>F11*1.45/100</f>
        <v>2.9</v>
      </c>
      <c r="K11" s="17">
        <f>E11*6.9/100</f>
        <v>13.8</v>
      </c>
      <c r="L11" s="30">
        <f>F11*6.9/100</f>
        <v>13.8</v>
      </c>
      <c r="M11" s="17">
        <f t="shared" si="1"/>
        <v>94.5</v>
      </c>
      <c r="N11" s="32">
        <f t="shared" si="1"/>
        <v>94.5</v>
      </c>
      <c r="O11" s="1"/>
      <c r="P11" s="3"/>
      <c r="Q11" s="5"/>
      <c r="R11" s="5"/>
      <c r="S11" s="5"/>
      <c r="T11" s="5"/>
      <c r="U11" s="1"/>
      <c r="V11" s="3"/>
      <c r="W11" s="5"/>
      <c r="X11" s="5"/>
      <c r="Y11" s="5"/>
      <c r="Z11" s="5"/>
    </row>
    <row r="12" spans="2:26" ht="14.25" customHeight="1" x14ac:dyDescent="0.25">
      <c r="B12" s="195"/>
      <c r="C12" s="23"/>
      <c r="D12" s="4" t="s">
        <v>13</v>
      </c>
      <c r="E12" s="21">
        <f t="shared" ref="E12:K12" si="2">SUM(E8:E11)</f>
        <v>375</v>
      </c>
      <c r="F12" s="29">
        <f t="shared" si="2"/>
        <v>400</v>
      </c>
      <c r="G12" s="7">
        <f>SUM(G8:G11)</f>
        <v>10.100000000000001</v>
      </c>
      <c r="H12" s="31">
        <f t="shared" si="2"/>
        <v>11.18</v>
      </c>
      <c r="I12" s="7">
        <f t="shared" si="2"/>
        <v>8.8819999999999997</v>
      </c>
      <c r="J12" s="31">
        <f t="shared" si="2"/>
        <v>9.7479999999999993</v>
      </c>
      <c r="K12" s="7">
        <f t="shared" si="2"/>
        <v>52.094000000000008</v>
      </c>
      <c r="L12" s="31">
        <f>SUM(L8:L11)</f>
        <v>57.396000000000001</v>
      </c>
      <c r="M12" s="7">
        <f>G12*4+I12*9+K12*4</f>
        <v>328.71400000000006</v>
      </c>
      <c r="N12" s="33">
        <f t="shared" si="1"/>
        <v>362.036</v>
      </c>
      <c r="O12" s="1"/>
      <c r="P12" s="3"/>
      <c r="Q12" s="5"/>
      <c r="R12" s="5"/>
      <c r="S12" s="5"/>
      <c r="T12" s="5"/>
      <c r="U12" s="1"/>
      <c r="V12" s="3"/>
      <c r="W12" s="5"/>
      <c r="X12" s="5"/>
      <c r="Y12" s="5"/>
      <c r="Z12" s="5"/>
    </row>
    <row r="13" spans="2:26" ht="14.25" customHeight="1" x14ac:dyDescent="0.25">
      <c r="B13" s="195"/>
      <c r="C13" s="178" t="s">
        <v>79</v>
      </c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80"/>
      <c r="O13" s="1"/>
      <c r="P13" s="3"/>
      <c r="Q13" s="5"/>
      <c r="R13" s="5"/>
      <c r="S13" s="5"/>
      <c r="T13" s="5"/>
      <c r="U13" s="1"/>
      <c r="V13" s="3"/>
      <c r="W13" s="5"/>
      <c r="X13" s="5"/>
      <c r="Y13" s="5"/>
      <c r="Z13" s="5"/>
    </row>
    <row r="14" spans="2:26" ht="14.25" customHeight="1" x14ac:dyDescent="0.25">
      <c r="B14" s="195"/>
      <c r="C14" s="15" t="s">
        <v>142</v>
      </c>
      <c r="D14" s="9" t="s">
        <v>210</v>
      </c>
      <c r="E14" s="99">
        <v>100</v>
      </c>
      <c r="F14" s="27">
        <v>100</v>
      </c>
      <c r="G14" s="17">
        <f>E14*3/100</f>
        <v>3</v>
      </c>
      <c r="H14" s="30">
        <f>F14*3/100</f>
        <v>3</v>
      </c>
      <c r="I14" s="17">
        <f>E14*2.5/100</f>
        <v>2.5</v>
      </c>
      <c r="J14" s="30">
        <f>F14*2.5/100</f>
        <v>2.5</v>
      </c>
      <c r="K14" s="17">
        <f>E14*11/100</f>
        <v>11</v>
      </c>
      <c r="L14" s="30">
        <f>F14*11/100</f>
        <v>11</v>
      </c>
      <c r="M14" s="17">
        <f t="shared" ref="M14:N14" si="3">G14*4+I14*9+K14*4</f>
        <v>78.5</v>
      </c>
      <c r="N14" s="32">
        <f t="shared" si="3"/>
        <v>78.5</v>
      </c>
      <c r="O14" s="1"/>
      <c r="P14" s="3"/>
      <c r="Q14" s="5"/>
      <c r="R14" s="5"/>
      <c r="S14" s="5"/>
      <c r="T14" s="5"/>
      <c r="U14" s="1"/>
      <c r="V14" s="3"/>
      <c r="W14" s="5"/>
      <c r="X14" s="5"/>
      <c r="Y14" s="5"/>
      <c r="Z14" s="5"/>
    </row>
    <row r="15" spans="2:26" ht="14.25" customHeight="1" x14ac:dyDescent="0.25">
      <c r="B15" s="195"/>
      <c r="C15" s="15"/>
      <c r="D15" s="4" t="s">
        <v>80</v>
      </c>
      <c r="E15" s="21">
        <f t="shared" ref="E15:L15" si="4">SUM(E14)</f>
        <v>100</v>
      </c>
      <c r="F15" s="29">
        <f t="shared" si="4"/>
        <v>100</v>
      </c>
      <c r="G15" s="7">
        <f t="shared" si="4"/>
        <v>3</v>
      </c>
      <c r="H15" s="31">
        <f t="shared" si="4"/>
        <v>3</v>
      </c>
      <c r="I15" s="7">
        <f t="shared" si="4"/>
        <v>2.5</v>
      </c>
      <c r="J15" s="31">
        <f t="shared" si="4"/>
        <v>2.5</v>
      </c>
      <c r="K15" s="7">
        <f t="shared" si="4"/>
        <v>11</v>
      </c>
      <c r="L15" s="31">
        <f t="shared" si="4"/>
        <v>11</v>
      </c>
      <c r="M15" s="7">
        <f>G15*4+I15*9+K15*4</f>
        <v>78.5</v>
      </c>
      <c r="N15" s="33">
        <f>H15*4+J15*9+L15*4</f>
        <v>78.5</v>
      </c>
      <c r="O15" s="1"/>
      <c r="P15" s="3"/>
      <c r="Q15" s="5"/>
      <c r="R15" s="5"/>
      <c r="S15" s="5"/>
      <c r="T15" s="5"/>
      <c r="U15" s="1"/>
      <c r="V15" s="3"/>
      <c r="W15" s="5"/>
      <c r="X15" s="5"/>
      <c r="Y15" s="5"/>
      <c r="Z15" s="5"/>
    </row>
    <row r="16" spans="2:26" ht="14.25" customHeight="1" x14ac:dyDescent="0.25">
      <c r="B16" s="195"/>
      <c r="C16" s="178" t="s">
        <v>9</v>
      </c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80"/>
      <c r="O16" s="1"/>
      <c r="P16" s="3"/>
      <c r="Q16" s="5" t="s">
        <v>23</v>
      </c>
      <c r="R16" s="5"/>
      <c r="S16" s="5"/>
      <c r="T16" s="5"/>
      <c r="U16" s="1"/>
      <c r="V16" s="3"/>
      <c r="W16" s="5"/>
      <c r="X16" s="5"/>
      <c r="Y16" s="5"/>
      <c r="Z16" s="5"/>
    </row>
    <row r="17" spans="2:26" ht="14.25" customHeight="1" x14ac:dyDescent="0.25">
      <c r="B17" s="195"/>
      <c r="C17" s="15" t="s">
        <v>273</v>
      </c>
      <c r="D17" s="9" t="s">
        <v>274</v>
      </c>
      <c r="E17" s="100">
        <v>30</v>
      </c>
      <c r="F17" s="39">
        <v>50</v>
      </c>
      <c r="G17" s="19">
        <f>E17*0.7/100</f>
        <v>0.21</v>
      </c>
      <c r="H17" s="40">
        <f>F17*0.7/100</f>
        <v>0.35</v>
      </c>
      <c r="I17" s="19">
        <f>E17*0.1/100</f>
        <v>0.03</v>
      </c>
      <c r="J17" s="40">
        <f>F17*0.1/100</f>
        <v>0.05</v>
      </c>
      <c r="K17" s="19">
        <f>E17*1.9/100</f>
        <v>0.56999999999999995</v>
      </c>
      <c r="L17" s="40">
        <f>F17*1.9/100</f>
        <v>0.95</v>
      </c>
      <c r="M17" s="19">
        <f t="shared" ref="M17:N17" si="5">G17*4+I17*9+K17*4</f>
        <v>3.3899999999999997</v>
      </c>
      <c r="N17" s="37">
        <f t="shared" si="5"/>
        <v>5.6499999999999995</v>
      </c>
      <c r="O17" s="1"/>
      <c r="P17" s="3"/>
      <c r="Q17" s="5"/>
      <c r="R17" s="5"/>
      <c r="S17" s="5"/>
      <c r="T17" s="5"/>
      <c r="U17" s="1"/>
      <c r="V17" s="3"/>
      <c r="W17" s="5"/>
      <c r="X17" s="5"/>
      <c r="Y17" s="5"/>
      <c r="Z17" s="5"/>
    </row>
    <row r="18" spans="2:26" ht="16.5" customHeight="1" x14ac:dyDescent="0.25">
      <c r="B18" s="195"/>
      <c r="C18" s="15" t="s">
        <v>21</v>
      </c>
      <c r="D18" s="9" t="s">
        <v>71</v>
      </c>
      <c r="E18" s="100">
        <v>150</v>
      </c>
      <c r="F18" s="39">
        <v>180</v>
      </c>
      <c r="G18" s="17">
        <f>E18*0.8/100</f>
        <v>1.2</v>
      </c>
      <c r="H18" s="30">
        <f>F18*0.8/100</f>
        <v>1.44</v>
      </c>
      <c r="I18" s="17">
        <f>E18*2.08/100</f>
        <v>3.12</v>
      </c>
      <c r="J18" s="30">
        <f>F18*2.08/100</f>
        <v>3.7440000000000002</v>
      </c>
      <c r="K18" s="17">
        <f>E18*5.24/100</f>
        <v>7.86</v>
      </c>
      <c r="L18" s="30">
        <f>F18*5.24/100</f>
        <v>9.4320000000000004</v>
      </c>
      <c r="M18" s="17">
        <f t="shared" ref="M18:N19" si="6">G18*4+I18*9+K18*4</f>
        <v>64.320000000000007</v>
      </c>
      <c r="N18" s="32">
        <f>H18*4+J18*9+L18*4</f>
        <v>77.183999999999997</v>
      </c>
      <c r="O18" s="1"/>
      <c r="P18" s="3"/>
      <c r="Q18" s="5"/>
      <c r="R18" s="5"/>
      <c r="S18" s="5"/>
      <c r="T18" s="5"/>
      <c r="U18" s="1"/>
      <c r="V18" s="3"/>
      <c r="W18" s="5"/>
      <c r="X18" s="5"/>
      <c r="Y18" s="5"/>
      <c r="Z18" s="5"/>
    </row>
    <row r="19" spans="2:26" ht="14.25" customHeight="1" x14ac:dyDescent="0.25">
      <c r="B19" s="195"/>
      <c r="C19" s="15" t="s">
        <v>156</v>
      </c>
      <c r="D19" s="8" t="s">
        <v>214</v>
      </c>
      <c r="E19" s="99">
        <v>150</v>
      </c>
      <c r="F19" s="28">
        <v>200</v>
      </c>
      <c r="G19" s="17">
        <f>E19*10.8/100</f>
        <v>16.2</v>
      </c>
      <c r="H19" s="30">
        <f>F19*10.8/100</f>
        <v>21.6</v>
      </c>
      <c r="I19" s="99">
        <f>E19*5.9/100</f>
        <v>8.85</v>
      </c>
      <c r="J19" s="30">
        <f>F19*5.9/100</f>
        <v>11.8</v>
      </c>
      <c r="K19" s="17">
        <f>E19*18.9/100</f>
        <v>28.35</v>
      </c>
      <c r="L19" s="30">
        <f>F19*18.9/100</f>
        <v>37.799999999999997</v>
      </c>
      <c r="M19" s="17">
        <f t="shared" si="6"/>
        <v>257.85000000000002</v>
      </c>
      <c r="N19" s="32">
        <f t="shared" si="6"/>
        <v>343.8</v>
      </c>
      <c r="O19" s="1"/>
      <c r="P19" s="3"/>
      <c r="Q19" s="5"/>
      <c r="R19" s="5"/>
      <c r="S19" s="5"/>
      <c r="T19" s="5"/>
      <c r="U19" s="1"/>
      <c r="V19" s="3"/>
      <c r="W19" s="5"/>
      <c r="X19" s="5"/>
      <c r="Y19" s="5"/>
      <c r="Z19" s="5"/>
    </row>
    <row r="20" spans="2:26" ht="14.25" customHeight="1" x14ac:dyDescent="0.25">
      <c r="B20" s="195"/>
      <c r="C20" s="15" t="s">
        <v>45</v>
      </c>
      <c r="D20" s="9" t="s">
        <v>217</v>
      </c>
      <c r="E20" s="89">
        <v>150</v>
      </c>
      <c r="F20" s="28">
        <v>180</v>
      </c>
      <c r="G20" s="17">
        <f>E20*0.2/200</f>
        <v>0.15</v>
      </c>
      <c r="H20" s="30">
        <f>F20*0.2/200</f>
        <v>0.18</v>
      </c>
      <c r="I20" s="17">
        <f t="shared" ref="I20:J20" si="7">E20*0.1/200</f>
        <v>7.4999999999999997E-2</v>
      </c>
      <c r="J20" s="30">
        <f t="shared" si="7"/>
        <v>0.09</v>
      </c>
      <c r="K20" s="17">
        <f>E20*9.3/200</f>
        <v>6.9749999999999996</v>
      </c>
      <c r="L20" s="30">
        <f>F20*9.3/200</f>
        <v>8.370000000000001</v>
      </c>
      <c r="M20" s="17">
        <f t="shared" ref="M20:N22" si="8">G20*4+I20*9+K20*4</f>
        <v>29.174999999999997</v>
      </c>
      <c r="N20" s="32">
        <f t="shared" si="8"/>
        <v>35.010000000000005</v>
      </c>
      <c r="O20" s="1"/>
      <c r="P20" s="3"/>
      <c r="Q20" s="5"/>
      <c r="R20" s="5"/>
      <c r="S20" s="5"/>
      <c r="T20" s="5"/>
      <c r="U20" s="1"/>
      <c r="V20" s="3"/>
      <c r="W20" s="5"/>
      <c r="X20" s="5"/>
      <c r="Y20" s="5"/>
      <c r="Z20" s="5"/>
    </row>
    <row r="21" spans="2:26" ht="14.25" customHeight="1" x14ac:dyDescent="0.25">
      <c r="B21" s="195"/>
      <c r="C21" s="16" t="s">
        <v>139</v>
      </c>
      <c r="D21" s="6" t="s">
        <v>22</v>
      </c>
      <c r="E21" s="65">
        <v>25</v>
      </c>
      <c r="F21" s="62">
        <v>30</v>
      </c>
      <c r="G21" s="17">
        <f>E21*8/100</f>
        <v>2</v>
      </c>
      <c r="H21" s="30">
        <f>F21*8/100</f>
        <v>2.4</v>
      </c>
      <c r="I21" s="17">
        <f>E21*1.5/100</f>
        <v>0.375</v>
      </c>
      <c r="J21" s="30">
        <f>F21*1.5/100</f>
        <v>0.45</v>
      </c>
      <c r="K21" s="17">
        <f>E21*40.1/100</f>
        <v>10.025</v>
      </c>
      <c r="L21" s="30">
        <f>F21*40.1/100</f>
        <v>12.03</v>
      </c>
      <c r="M21" s="17">
        <f t="shared" si="8"/>
        <v>51.475000000000001</v>
      </c>
      <c r="N21" s="32">
        <f t="shared" si="8"/>
        <v>61.769999999999996</v>
      </c>
      <c r="O21" s="1"/>
      <c r="P21" s="3"/>
      <c r="Q21" s="5"/>
      <c r="R21" s="5"/>
      <c r="S21" s="5"/>
      <c r="T21" s="5"/>
      <c r="U21" s="1"/>
      <c r="V21" s="3"/>
      <c r="W21" s="5"/>
      <c r="X21" s="5"/>
      <c r="Y21" s="5"/>
      <c r="Z21" s="5"/>
    </row>
    <row r="22" spans="2:26" ht="14.25" customHeight="1" x14ac:dyDescent="0.25">
      <c r="B22" s="195"/>
      <c r="C22" s="16" t="s">
        <v>137</v>
      </c>
      <c r="D22" s="6" t="s">
        <v>138</v>
      </c>
      <c r="E22" s="65">
        <v>25</v>
      </c>
      <c r="F22" s="62">
        <v>30</v>
      </c>
      <c r="G22" s="17">
        <f>E22*7.6/100</f>
        <v>1.9</v>
      </c>
      <c r="H22" s="30">
        <f>F22*7.6/100</f>
        <v>2.2799999999999998</v>
      </c>
      <c r="I22" s="17">
        <f>E22*0.8/100</f>
        <v>0.2</v>
      </c>
      <c r="J22" s="30">
        <f>F22*0.8/100</f>
        <v>0.24</v>
      </c>
      <c r="K22" s="17">
        <f>E22*49.2/100</f>
        <v>12.3</v>
      </c>
      <c r="L22" s="30">
        <f>F22*49.2/100</f>
        <v>14.76</v>
      </c>
      <c r="M22" s="17">
        <f t="shared" si="8"/>
        <v>58.6</v>
      </c>
      <c r="N22" s="32">
        <f t="shared" si="8"/>
        <v>70.319999999999993</v>
      </c>
      <c r="O22" s="1"/>
      <c r="P22" s="3"/>
      <c r="Q22" s="5" t="s">
        <v>23</v>
      </c>
      <c r="R22" s="5"/>
      <c r="S22" s="5"/>
      <c r="T22" s="5"/>
      <c r="U22" s="1"/>
      <c r="V22" s="3"/>
      <c r="W22" s="5"/>
      <c r="X22" s="5"/>
      <c r="Y22" s="5"/>
      <c r="Z22" s="5"/>
    </row>
    <row r="23" spans="2:26" ht="14.25" customHeight="1" x14ac:dyDescent="0.25">
      <c r="B23" s="195"/>
      <c r="C23" s="16"/>
      <c r="D23" s="4" t="s">
        <v>14</v>
      </c>
      <c r="E23" s="21">
        <f t="shared" ref="E23:N23" si="9">SUM(E17:E22)</f>
        <v>530</v>
      </c>
      <c r="F23" s="35">
        <f t="shared" si="9"/>
        <v>670</v>
      </c>
      <c r="G23" s="7">
        <f t="shared" si="9"/>
        <v>21.659999999999997</v>
      </c>
      <c r="H23" s="31">
        <f t="shared" si="9"/>
        <v>28.25</v>
      </c>
      <c r="I23" s="7">
        <f t="shared" si="9"/>
        <v>12.649999999999999</v>
      </c>
      <c r="J23" s="31">
        <f t="shared" si="9"/>
        <v>16.373999999999999</v>
      </c>
      <c r="K23" s="7">
        <f t="shared" si="9"/>
        <v>66.08</v>
      </c>
      <c r="L23" s="31">
        <f t="shared" si="9"/>
        <v>83.341999999999999</v>
      </c>
      <c r="M23" s="7">
        <f t="shared" si="9"/>
        <v>464.81000000000012</v>
      </c>
      <c r="N23" s="33">
        <f t="shared" si="9"/>
        <v>593.73399999999992</v>
      </c>
      <c r="O23" s="1"/>
      <c r="P23" s="3"/>
      <c r="Q23" s="5"/>
      <c r="R23" s="5"/>
      <c r="S23" s="5"/>
      <c r="T23" s="5"/>
      <c r="U23" s="1"/>
      <c r="V23" s="3"/>
      <c r="W23" s="5"/>
      <c r="X23" s="5"/>
      <c r="Y23" s="5"/>
      <c r="Z23" s="5"/>
    </row>
    <row r="24" spans="2:26" ht="14.25" customHeight="1" x14ac:dyDescent="0.25">
      <c r="B24" s="195"/>
      <c r="C24" s="191" t="s">
        <v>84</v>
      </c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3"/>
      <c r="O24" s="1"/>
      <c r="P24" s="3"/>
      <c r="Q24" s="5"/>
      <c r="R24" s="5"/>
      <c r="S24" s="5"/>
      <c r="T24" s="5"/>
      <c r="U24" s="1"/>
      <c r="V24" s="3"/>
      <c r="W24" s="5"/>
      <c r="X24" s="5"/>
      <c r="Y24" s="5"/>
      <c r="Z24" s="5"/>
    </row>
    <row r="25" spans="2:26" ht="14.25" customHeight="1" x14ac:dyDescent="0.25">
      <c r="B25" s="195"/>
      <c r="C25" s="16" t="s">
        <v>215</v>
      </c>
      <c r="D25" s="9" t="s">
        <v>216</v>
      </c>
      <c r="E25" s="99">
        <v>60</v>
      </c>
      <c r="F25" s="28">
        <v>75</v>
      </c>
      <c r="G25" s="17">
        <f>E25*6.28/100</f>
        <v>3.7680000000000002</v>
      </c>
      <c r="H25" s="30">
        <f>F25*6.28/100</f>
        <v>4.71</v>
      </c>
      <c r="I25" s="17">
        <f>E25*5.71/100</f>
        <v>3.4260000000000002</v>
      </c>
      <c r="J25" s="30">
        <f>F25*5.71/100</f>
        <v>4.2824999999999998</v>
      </c>
      <c r="K25" s="17">
        <f>E25*35.68/100</f>
        <v>21.408000000000001</v>
      </c>
      <c r="L25" s="30">
        <f>F25*35.68/100</f>
        <v>26.76</v>
      </c>
      <c r="M25" s="17">
        <f t="shared" ref="M25:N26" si="10">G25*4+I25*9+K25*4</f>
        <v>131.53800000000001</v>
      </c>
      <c r="N25" s="32">
        <f t="shared" si="10"/>
        <v>164.42250000000001</v>
      </c>
      <c r="O25" s="1"/>
      <c r="P25" s="3"/>
      <c r="Q25" s="5"/>
      <c r="R25" s="5"/>
      <c r="S25" s="5"/>
      <c r="T25" s="5"/>
      <c r="U25" s="1"/>
      <c r="V25" s="3"/>
      <c r="W25" s="5"/>
      <c r="X25" s="5"/>
      <c r="Y25" s="5"/>
      <c r="Z25" s="5"/>
    </row>
    <row r="26" spans="2:26" ht="14.25" customHeight="1" x14ac:dyDescent="0.25">
      <c r="B26" s="195"/>
      <c r="C26" s="15" t="s">
        <v>43</v>
      </c>
      <c r="D26" s="9" t="s">
        <v>91</v>
      </c>
      <c r="E26" s="99">
        <v>150</v>
      </c>
      <c r="F26" s="28">
        <v>180</v>
      </c>
      <c r="G26" s="17">
        <f>E26*0.67/200</f>
        <v>0.50249999999999995</v>
      </c>
      <c r="H26" s="30">
        <f>F26*0.67/200</f>
        <v>0.60300000000000009</v>
      </c>
      <c r="I26" s="17">
        <f>E26*0.27/200</f>
        <v>0.20250000000000001</v>
      </c>
      <c r="J26" s="30">
        <f>F26*0.27/200</f>
        <v>0.24299999999999999</v>
      </c>
      <c r="K26" s="17">
        <f>E26*18.3/200</f>
        <v>13.725</v>
      </c>
      <c r="L26" s="30">
        <f>F26*18.3/200</f>
        <v>16.47</v>
      </c>
      <c r="M26" s="17">
        <f t="shared" si="10"/>
        <v>58.732500000000002</v>
      </c>
      <c r="N26" s="32">
        <f t="shared" si="10"/>
        <v>70.478999999999999</v>
      </c>
      <c r="O26" s="1"/>
      <c r="P26" s="3"/>
      <c r="Q26" s="5"/>
      <c r="R26" s="5"/>
      <c r="S26" s="5"/>
      <c r="T26" s="5"/>
      <c r="U26" s="1"/>
      <c r="V26" s="3"/>
      <c r="W26" s="5"/>
      <c r="X26" s="5"/>
      <c r="Y26" s="5"/>
      <c r="Z26" s="5"/>
    </row>
    <row r="27" spans="2:26" ht="14.25" customHeight="1" x14ac:dyDescent="0.25">
      <c r="B27" s="195"/>
      <c r="C27" s="44"/>
      <c r="D27" s="51" t="s">
        <v>81</v>
      </c>
      <c r="E27" s="52">
        <f t="shared" ref="E27:N27" si="11">SUM(E25:E26)</f>
        <v>210</v>
      </c>
      <c r="F27" s="53">
        <f t="shared" si="11"/>
        <v>255</v>
      </c>
      <c r="G27" s="54">
        <f t="shared" si="11"/>
        <v>4.2705000000000002</v>
      </c>
      <c r="H27" s="55">
        <f t="shared" si="11"/>
        <v>5.3129999999999997</v>
      </c>
      <c r="I27" s="54">
        <f t="shared" si="11"/>
        <v>3.6285000000000003</v>
      </c>
      <c r="J27" s="55">
        <f t="shared" si="11"/>
        <v>4.5255000000000001</v>
      </c>
      <c r="K27" s="54">
        <f t="shared" si="11"/>
        <v>35.133000000000003</v>
      </c>
      <c r="L27" s="55">
        <f t="shared" si="11"/>
        <v>43.230000000000004</v>
      </c>
      <c r="M27" s="54">
        <f t="shared" si="11"/>
        <v>190.27050000000003</v>
      </c>
      <c r="N27" s="56">
        <f t="shared" si="11"/>
        <v>234.9015</v>
      </c>
      <c r="O27" s="1"/>
      <c r="P27" s="3"/>
      <c r="Q27" s="5"/>
      <c r="R27" s="5"/>
      <c r="S27" s="5"/>
      <c r="T27" s="5"/>
      <c r="U27" s="1"/>
      <c r="V27" s="3"/>
      <c r="W27" s="5"/>
      <c r="X27" s="5"/>
      <c r="Y27" s="5"/>
      <c r="Z27" s="5"/>
    </row>
    <row r="28" spans="2:26" ht="14.25" customHeight="1" thickBot="1" x14ac:dyDescent="0.3">
      <c r="B28" s="196"/>
      <c r="C28" s="22"/>
      <c r="D28" s="13" t="s">
        <v>12</v>
      </c>
      <c r="E28" s="18"/>
      <c r="F28" s="45"/>
      <c r="G28" s="14">
        <f t="shared" ref="G28:N28" si="12">G27+G23+G15+G12</f>
        <v>39.030499999999996</v>
      </c>
      <c r="H28" s="36">
        <f t="shared" si="12"/>
        <v>47.743000000000002</v>
      </c>
      <c r="I28" s="14">
        <f t="shared" si="12"/>
        <v>27.660499999999999</v>
      </c>
      <c r="J28" s="36">
        <f t="shared" si="12"/>
        <v>33.147500000000001</v>
      </c>
      <c r="K28" s="14">
        <f t="shared" si="12"/>
        <v>164.30700000000002</v>
      </c>
      <c r="L28" s="36">
        <f t="shared" si="12"/>
        <v>194.96800000000002</v>
      </c>
      <c r="M28" s="14">
        <f t="shared" si="12"/>
        <v>1062.2945000000002</v>
      </c>
      <c r="N28" s="38">
        <f t="shared" si="12"/>
        <v>1269.1714999999999</v>
      </c>
      <c r="O28" s="1"/>
      <c r="P28" s="3"/>
      <c r="Q28" s="5"/>
      <c r="R28" s="5"/>
      <c r="S28" s="5"/>
      <c r="T28" s="5"/>
      <c r="U28" s="1"/>
      <c r="V28" s="3"/>
      <c r="W28" s="5"/>
      <c r="X28" s="5"/>
      <c r="Y28" s="5"/>
      <c r="Z28" s="5"/>
    </row>
    <row r="31" spans="2:26" x14ac:dyDescent="0.25">
      <c r="D31" s="12" t="s">
        <v>23</v>
      </c>
    </row>
  </sheetData>
  <mergeCells count="15">
    <mergeCell ref="B3:E3"/>
    <mergeCell ref="B7:B28"/>
    <mergeCell ref="C7:N7"/>
    <mergeCell ref="C13:N13"/>
    <mergeCell ref="C16:N16"/>
    <mergeCell ref="C24:N24"/>
    <mergeCell ref="M4:N5"/>
    <mergeCell ref="G5:H5"/>
    <mergeCell ref="I5:J5"/>
    <mergeCell ref="K5:L5"/>
    <mergeCell ref="B4:B6"/>
    <mergeCell ref="C4:C6"/>
    <mergeCell ref="D4:D6"/>
    <mergeCell ref="E4:F5"/>
    <mergeCell ref="G4:L4"/>
  </mergeCells>
  <pageMargins left="0.7" right="0.7" top="0.75" bottom="0.75" header="0.3" footer="0.3"/>
  <pageSetup paperSize="9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2:Z30"/>
  <sheetViews>
    <sheetView zoomScale="90" zoomScaleNormal="90" zoomScalePageLayoutView="90" workbookViewId="0">
      <selection activeCell="F34" sqref="F34:F35"/>
    </sheetView>
  </sheetViews>
  <sheetFormatPr defaultColWidth="9.140625" defaultRowHeight="15" x14ac:dyDescent="0.25"/>
  <cols>
    <col min="1" max="1" width="5.7109375" style="12" customWidth="1"/>
    <col min="2" max="2" width="2.7109375" style="12" customWidth="1"/>
    <col min="3" max="3" width="10.5703125" style="12" customWidth="1"/>
    <col min="4" max="4" width="35.28515625" style="12" customWidth="1"/>
    <col min="5" max="6" width="7.28515625" style="12" customWidth="1"/>
    <col min="7" max="7" width="6.7109375" style="12" customWidth="1"/>
    <col min="8" max="8" width="6.85546875" style="12" customWidth="1"/>
    <col min="9" max="9" width="6.42578125" style="12" customWidth="1"/>
    <col min="10" max="10" width="6.5703125" style="12" customWidth="1"/>
    <col min="11" max="11" width="7.5703125" style="12" customWidth="1"/>
    <col min="12" max="12" width="7.42578125" style="12" customWidth="1"/>
    <col min="13" max="13" width="8.5703125" style="12" customWidth="1"/>
    <col min="14" max="14" width="7.5703125" style="12" customWidth="1"/>
    <col min="15" max="15" width="9" style="12" customWidth="1"/>
    <col min="16" max="16" width="7.28515625" style="12" customWidth="1"/>
    <col min="17" max="20" width="9.140625" style="12"/>
    <col min="21" max="21" width="19.7109375" style="12" customWidth="1"/>
    <col min="22" max="22" width="7.7109375" style="12" customWidth="1"/>
    <col min="23" max="23" width="9.140625" style="12"/>
    <col min="24" max="24" width="7.7109375" style="12" customWidth="1"/>
    <col min="25" max="16384" width="9.140625" style="12"/>
  </cols>
  <sheetData>
    <row r="2" spans="2:26" ht="13.5" customHeight="1" x14ac:dyDescent="0.25"/>
    <row r="3" spans="2:26" ht="16.5" customHeight="1" thickBot="1" x14ac:dyDescent="0.3">
      <c r="B3" s="172" t="s">
        <v>18</v>
      </c>
      <c r="C3" s="172"/>
      <c r="D3" s="172"/>
      <c r="E3" s="172"/>
      <c r="O3" s="2"/>
      <c r="P3" s="2"/>
      <c r="Q3" s="1"/>
      <c r="R3" s="1"/>
      <c r="S3" s="1"/>
      <c r="T3" s="1"/>
      <c r="U3" s="2"/>
      <c r="V3" s="2"/>
      <c r="W3" s="1"/>
      <c r="X3" s="1"/>
      <c r="Y3" s="1"/>
      <c r="Z3" s="1"/>
    </row>
    <row r="4" spans="2:26" ht="15" customHeight="1" x14ac:dyDescent="0.25">
      <c r="B4" s="197" t="s">
        <v>39</v>
      </c>
      <c r="C4" s="181" t="s">
        <v>0</v>
      </c>
      <c r="D4" s="184" t="s">
        <v>1</v>
      </c>
      <c r="E4" s="187" t="s">
        <v>6</v>
      </c>
      <c r="F4" s="188"/>
      <c r="G4" s="200" t="s">
        <v>7</v>
      </c>
      <c r="H4" s="200"/>
      <c r="I4" s="200"/>
      <c r="J4" s="200"/>
      <c r="K4" s="200"/>
      <c r="L4" s="200"/>
      <c r="M4" s="201" t="s">
        <v>5</v>
      </c>
      <c r="N4" s="202"/>
      <c r="O4" s="1"/>
      <c r="P4" s="3"/>
      <c r="Q4" s="5"/>
      <c r="R4" s="5"/>
      <c r="S4" s="5"/>
      <c r="T4" s="5"/>
      <c r="U4" s="1"/>
      <c r="V4" s="3"/>
      <c r="W4" s="5"/>
      <c r="X4" s="5"/>
      <c r="Y4" s="5"/>
      <c r="Z4" s="5"/>
    </row>
    <row r="5" spans="2:26" x14ac:dyDescent="0.25">
      <c r="B5" s="198"/>
      <c r="C5" s="182"/>
      <c r="D5" s="185"/>
      <c r="E5" s="189"/>
      <c r="F5" s="190"/>
      <c r="G5" s="205" t="s">
        <v>3</v>
      </c>
      <c r="H5" s="205"/>
      <c r="I5" s="203" t="s">
        <v>2</v>
      </c>
      <c r="J5" s="203"/>
      <c r="K5" s="205" t="s">
        <v>4</v>
      </c>
      <c r="L5" s="205"/>
      <c r="M5" s="203"/>
      <c r="N5" s="204"/>
      <c r="O5" s="1"/>
      <c r="P5" s="3"/>
      <c r="Q5" s="5"/>
      <c r="R5" s="5"/>
      <c r="S5" s="5"/>
      <c r="T5" s="5"/>
      <c r="U5" s="1"/>
      <c r="V5" s="3"/>
      <c r="W5" s="5"/>
      <c r="X5" s="5"/>
      <c r="Y5" s="5"/>
      <c r="Z5" s="5"/>
    </row>
    <row r="6" spans="2:26" ht="21" customHeight="1" thickBot="1" x14ac:dyDescent="0.3">
      <c r="B6" s="199"/>
      <c r="C6" s="183"/>
      <c r="D6" s="186"/>
      <c r="E6" s="58" t="s">
        <v>82</v>
      </c>
      <c r="F6" s="59" t="s">
        <v>83</v>
      </c>
      <c r="G6" s="58" t="s">
        <v>82</v>
      </c>
      <c r="H6" s="60" t="s">
        <v>83</v>
      </c>
      <c r="I6" s="58" t="s">
        <v>82</v>
      </c>
      <c r="J6" s="60" t="s">
        <v>83</v>
      </c>
      <c r="K6" s="58" t="s">
        <v>82</v>
      </c>
      <c r="L6" s="60" t="s">
        <v>83</v>
      </c>
      <c r="M6" s="58" t="s">
        <v>82</v>
      </c>
      <c r="N6" s="61" t="s">
        <v>83</v>
      </c>
      <c r="O6" s="1"/>
      <c r="P6" s="3"/>
      <c r="Q6" s="5"/>
      <c r="R6" s="5"/>
      <c r="S6" s="5"/>
      <c r="T6" s="5"/>
      <c r="U6" s="1"/>
      <c r="V6" s="3"/>
      <c r="W6" s="5"/>
      <c r="X6" s="5"/>
      <c r="Y6" s="5"/>
      <c r="Z6" s="5"/>
    </row>
    <row r="7" spans="2:26" ht="15" customHeight="1" x14ac:dyDescent="0.25">
      <c r="B7" s="194" t="s">
        <v>46</v>
      </c>
      <c r="C7" s="175" t="s">
        <v>8</v>
      </c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7"/>
    </row>
    <row r="8" spans="2:26" ht="16.5" customHeight="1" x14ac:dyDescent="0.25">
      <c r="B8" s="195"/>
      <c r="C8" s="15" t="s">
        <v>58</v>
      </c>
      <c r="D8" s="9" t="s">
        <v>60</v>
      </c>
      <c r="E8" s="101">
        <v>140</v>
      </c>
      <c r="F8" s="27">
        <v>160</v>
      </c>
      <c r="G8" s="17">
        <f>E8*2.5/100</f>
        <v>3.5</v>
      </c>
      <c r="H8" s="30">
        <f>F8*2.5/100</f>
        <v>4</v>
      </c>
      <c r="I8" s="17">
        <f>E8*3.2/100</f>
        <v>4.4800000000000004</v>
      </c>
      <c r="J8" s="30">
        <f>F8*3.2/100</f>
        <v>5.12</v>
      </c>
      <c r="K8" s="17">
        <f>E8*13.95/100</f>
        <v>19.53</v>
      </c>
      <c r="L8" s="30">
        <f>F8*13.95/100</f>
        <v>22.32</v>
      </c>
      <c r="M8" s="17">
        <f t="shared" ref="M8:N9" si="0">G8*4+I8*9+K8*4</f>
        <v>132.44</v>
      </c>
      <c r="N8" s="32">
        <f t="shared" si="0"/>
        <v>151.36000000000001</v>
      </c>
    </row>
    <row r="9" spans="2:26" x14ac:dyDescent="0.25">
      <c r="B9" s="195"/>
      <c r="C9" s="16" t="s">
        <v>137</v>
      </c>
      <c r="D9" s="6" t="s">
        <v>138</v>
      </c>
      <c r="E9" s="65">
        <v>25</v>
      </c>
      <c r="F9" s="62">
        <v>30</v>
      </c>
      <c r="G9" s="17">
        <f>E9*7.6/100</f>
        <v>1.9</v>
      </c>
      <c r="H9" s="30">
        <f>F9*7.6/100</f>
        <v>2.2799999999999998</v>
      </c>
      <c r="I9" s="17">
        <f>E9*0.8/100</f>
        <v>0.2</v>
      </c>
      <c r="J9" s="30">
        <f>F9*0.8/100</f>
        <v>0.24</v>
      </c>
      <c r="K9" s="17">
        <f>E9*49.2/100</f>
        <v>12.3</v>
      </c>
      <c r="L9" s="30">
        <f>F9*49.2/100</f>
        <v>14.76</v>
      </c>
      <c r="M9" s="17">
        <f t="shared" si="0"/>
        <v>58.6</v>
      </c>
      <c r="N9" s="32">
        <f t="shared" si="0"/>
        <v>70.319999999999993</v>
      </c>
    </row>
    <row r="10" spans="2:26" x14ac:dyDescent="0.25">
      <c r="B10" s="195"/>
      <c r="C10" s="48" t="s">
        <v>145</v>
      </c>
      <c r="D10" s="49" t="s">
        <v>146</v>
      </c>
      <c r="E10" s="98">
        <v>8</v>
      </c>
      <c r="F10" s="50">
        <v>10</v>
      </c>
      <c r="G10" s="17">
        <f>E10*0.8/100</f>
        <v>6.4000000000000001E-2</v>
      </c>
      <c r="H10" s="30">
        <f>F10*0.8/100</f>
        <v>0.08</v>
      </c>
      <c r="I10" s="17">
        <f>E10*72.5/100</f>
        <v>5.8</v>
      </c>
      <c r="J10" s="30">
        <f>F10*72.5/100</f>
        <v>7.25</v>
      </c>
      <c r="K10" s="17">
        <f>E10*1.3/100</f>
        <v>0.10400000000000001</v>
      </c>
      <c r="L10" s="30">
        <f>F10*1.3/100</f>
        <v>0.13</v>
      </c>
      <c r="M10" s="17">
        <f t="shared" ref="M10:N12" si="1">G10*4+I10*9+K10*4</f>
        <v>52.871999999999993</v>
      </c>
      <c r="N10" s="32">
        <f t="shared" si="1"/>
        <v>66.089999999999989</v>
      </c>
    </row>
    <row r="11" spans="2:26" x14ac:dyDescent="0.25">
      <c r="B11" s="195"/>
      <c r="C11" s="15" t="s">
        <v>45</v>
      </c>
      <c r="D11" s="9" t="s">
        <v>217</v>
      </c>
      <c r="E11" s="101">
        <v>150</v>
      </c>
      <c r="F11" s="28">
        <v>180</v>
      </c>
      <c r="G11" s="17">
        <f>E11*0.2/200</f>
        <v>0.15</v>
      </c>
      <c r="H11" s="30">
        <f>F11*0.2/200</f>
        <v>0.18</v>
      </c>
      <c r="I11" s="17">
        <f t="shared" ref="I11:J11" si="2">E11*0.1/200</f>
        <v>7.4999999999999997E-2</v>
      </c>
      <c r="J11" s="30">
        <f t="shared" si="2"/>
        <v>0.09</v>
      </c>
      <c r="K11" s="17">
        <f>E11*9.3/200</f>
        <v>6.9749999999999996</v>
      </c>
      <c r="L11" s="30">
        <f>F11*9.3/200</f>
        <v>8.370000000000001</v>
      </c>
      <c r="M11" s="17">
        <f t="shared" si="1"/>
        <v>29.174999999999997</v>
      </c>
      <c r="N11" s="32">
        <f t="shared" si="1"/>
        <v>35.010000000000005</v>
      </c>
    </row>
    <row r="12" spans="2:26" x14ac:dyDescent="0.25">
      <c r="B12" s="195"/>
      <c r="C12" s="23"/>
      <c r="D12" s="4" t="s">
        <v>13</v>
      </c>
      <c r="E12" s="21">
        <f t="shared" ref="E12:L12" si="3">SUM(E8:E11)</f>
        <v>323</v>
      </c>
      <c r="F12" s="29">
        <f t="shared" si="3"/>
        <v>380</v>
      </c>
      <c r="G12" s="7">
        <f t="shared" si="3"/>
        <v>5.6140000000000008</v>
      </c>
      <c r="H12" s="31">
        <f t="shared" si="3"/>
        <v>6.5399999999999991</v>
      </c>
      <c r="I12" s="7">
        <f t="shared" si="3"/>
        <v>10.555</v>
      </c>
      <c r="J12" s="31">
        <f t="shared" si="3"/>
        <v>12.7</v>
      </c>
      <c r="K12" s="7">
        <f t="shared" si="3"/>
        <v>38.908999999999999</v>
      </c>
      <c r="L12" s="31">
        <f t="shared" si="3"/>
        <v>45.58</v>
      </c>
      <c r="M12" s="7">
        <f>G12*4+I12*9+K12*4</f>
        <v>273.08699999999999</v>
      </c>
      <c r="N12" s="33">
        <f t="shared" si="1"/>
        <v>322.77999999999997</v>
      </c>
    </row>
    <row r="13" spans="2:26" x14ac:dyDescent="0.25">
      <c r="B13" s="195"/>
      <c r="C13" s="178" t="s">
        <v>79</v>
      </c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80"/>
    </row>
    <row r="14" spans="2:26" x14ac:dyDescent="0.25">
      <c r="B14" s="195"/>
      <c r="C14" s="16" t="s">
        <v>143</v>
      </c>
      <c r="D14" s="6" t="s">
        <v>144</v>
      </c>
      <c r="E14" s="101">
        <v>100</v>
      </c>
      <c r="F14" s="28">
        <v>100</v>
      </c>
      <c r="G14" s="17">
        <f>E14*0.5/100</f>
        <v>0.5</v>
      </c>
      <c r="H14" s="30">
        <f>F14*0.5/100</f>
        <v>0.5</v>
      </c>
      <c r="I14" s="17">
        <f>E14*0.1/100</f>
        <v>0.1</v>
      </c>
      <c r="J14" s="30">
        <f>F14*0.1/100</f>
        <v>0.1</v>
      </c>
      <c r="K14" s="17">
        <f>E14*10.1/100</f>
        <v>10.1</v>
      </c>
      <c r="L14" s="30">
        <f>F14*10.1/100</f>
        <v>10.1</v>
      </c>
      <c r="M14" s="17">
        <f t="shared" ref="M14:N14" si="4">G14*4+I14*9+K14*4</f>
        <v>43.3</v>
      </c>
      <c r="N14" s="32">
        <f t="shared" si="4"/>
        <v>43.3</v>
      </c>
    </row>
    <row r="15" spans="2:26" x14ac:dyDescent="0.25">
      <c r="B15" s="195"/>
      <c r="C15" s="15"/>
      <c r="D15" s="4" t="s">
        <v>80</v>
      </c>
      <c r="E15" s="21">
        <f t="shared" ref="E15:L15" si="5">SUM(E14)</f>
        <v>100</v>
      </c>
      <c r="F15" s="29">
        <f t="shared" si="5"/>
        <v>100</v>
      </c>
      <c r="G15" s="7">
        <f t="shared" si="5"/>
        <v>0.5</v>
      </c>
      <c r="H15" s="31">
        <f t="shared" si="5"/>
        <v>0.5</v>
      </c>
      <c r="I15" s="7">
        <f t="shared" si="5"/>
        <v>0.1</v>
      </c>
      <c r="J15" s="31">
        <f t="shared" si="5"/>
        <v>0.1</v>
      </c>
      <c r="K15" s="7">
        <f t="shared" si="5"/>
        <v>10.1</v>
      </c>
      <c r="L15" s="31">
        <f t="shared" si="5"/>
        <v>10.1</v>
      </c>
      <c r="M15" s="7">
        <f>G15*4+I15*9+K15*4</f>
        <v>43.3</v>
      </c>
      <c r="N15" s="33">
        <f>H15*4+J15*9+L15*4</f>
        <v>43.3</v>
      </c>
    </row>
    <row r="16" spans="2:26" x14ac:dyDescent="0.25">
      <c r="B16" s="195"/>
      <c r="C16" s="178" t="s">
        <v>9</v>
      </c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80"/>
    </row>
    <row r="17" spans="2:14" x14ac:dyDescent="0.25">
      <c r="B17" s="195"/>
      <c r="C17" s="57" t="s">
        <v>221</v>
      </c>
      <c r="D17" s="9" t="s">
        <v>222</v>
      </c>
      <c r="E17" s="101">
        <v>30</v>
      </c>
      <c r="F17" s="34">
        <v>50</v>
      </c>
      <c r="G17" s="17">
        <f>E17*1.4/100</f>
        <v>0.42</v>
      </c>
      <c r="H17" s="30">
        <f>F17*1.4/100</f>
        <v>0.7</v>
      </c>
      <c r="I17" s="17">
        <f>E17*6.1/100</f>
        <v>1.83</v>
      </c>
      <c r="J17" s="30">
        <f>F17*6.1/100</f>
        <v>3.05</v>
      </c>
      <c r="K17" s="17">
        <f>E17*7.63/100</f>
        <v>2.2890000000000001</v>
      </c>
      <c r="L17" s="30">
        <f>F17*7.63/100</f>
        <v>3.8149999999999999</v>
      </c>
      <c r="M17" s="19">
        <f t="shared" ref="M17:N21" si="6">G17*4+I17*9+K17*4</f>
        <v>27.305999999999997</v>
      </c>
      <c r="N17" s="37">
        <f t="shared" si="6"/>
        <v>45.51</v>
      </c>
    </row>
    <row r="18" spans="2:14" x14ac:dyDescent="0.25">
      <c r="B18" s="195"/>
      <c r="C18" s="46" t="s">
        <v>223</v>
      </c>
      <c r="D18" s="105" t="s">
        <v>224</v>
      </c>
      <c r="E18" s="100">
        <v>150</v>
      </c>
      <c r="F18" s="39">
        <v>180</v>
      </c>
      <c r="G18" s="17">
        <f>E18*1.6/100</f>
        <v>2.4</v>
      </c>
      <c r="H18" s="30">
        <f>F18*1.6/100</f>
        <v>2.88</v>
      </c>
      <c r="I18" s="17">
        <f>E18*1.4/100</f>
        <v>2.1</v>
      </c>
      <c r="J18" s="30">
        <f>F18*1.4/100</f>
        <v>2.5199999999999996</v>
      </c>
      <c r="K18" s="17">
        <f>E18*3.78/100</f>
        <v>5.67</v>
      </c>
      <c r="L18" s="30">
        <f>F18*3.78/100</f>
        <v>6.8039999999999994</v>
      </c>
      <c r="M18" s="19">
        <f t="shared" si="6"/>
        <v>51.18</v>
      </c>
      <c r="N18" s="37">
        <f t="shared" si="6"/>
        <v>61.415999999999997</v>
      </c>
    </row>
    <row r="19" spans="2:14" x14ac:dyDescent="0.25">
      <c r="B19" s="195"/>
      <c r="C19" s="16" t="s">
        <v>54</v>
      </c>
      <c r="D19" s="6" t="s">
        <v>53</v>
      </c>
      <c r="E19" s="101">
        <v>120</v>
      </c>
      <c r="F19" s="28">
        <v>150</v>
      </c>
      <c r="G19" s="17">
        <f>E19*3/100</f>
        <v>3.6</v>
      </c>
      <c r="H19" s="30">
        <f>F19*3/100</f>
        <v>4.5</v>
      </c>
      <c r="I19" s="17">
        <f>E19*2.32/100</f>
        <v>2.7839999999999998</v>
      </c>
      <c r="J19" s="30">
        <f>F19*2.32/100</f>
        <v>3.48</v>
      </c>
      <c r="K19" s="17">
        <f>E19*13.03/100</f>
        <v>15.635999999999999</v>
      </c>
      <c r="L19" s="30">
        <f>F19*13.03/100</f>
        <v>19.545000000000002</v>
      </c>
      <c r="M19" s="17">
        <f t="shared" si="6"/>
        <v>102</v>
      </c>
      <c r="N19" s="32">
        <f t="shared" si="6"/>
        <v>127.5</v>
      </c>
    </row>
    <row r="20" spans="2:14" x14ac:dyDescent="0.25">
      <c r="B20" s="195"/>
      <c r="C20" s="15" t="s">
        <v>225</v>
      </c>
      <c r="D20" s="9" t="s">
        <v>226</v>
      </c>
      <c r="E20" s="101">
        <v>50</v>
      </c>
      <c r="F20" s="28">
        <v>70</v>
      </c>
      <c r="G20" s="17">
        <f>E20*6.33/100</f>
        <v>3.165</v>
      </c>
      <c r="H20" s="30">
        <f>F20*6.33/100</f>
        <v>4.431</v>
      </c>
      <c r="I20" s="17">
        <f>E20*14.65/100</f>
        <v>7.3250000000000002</v>
      </c>
      <c r="J20" s="30">
        <f>F20*14.65/100</f>
        <v>10.255000000000001</v>
      </c>
      <c r="K20" s="17">
        <f>E20*10.55/100</f>
        <v>5.2750000000000004</v>
      </c>
      <c r="L20" s="30">
        <f>F20*10.55/100</f>
        <v>7.3849999999999998</v>
      </c>
      <c r="M20" s="17">
        <f t="shared" si="6"/>
        <v>99.685000000000002</v>
      </c>
      <c r="N20" s="32">
        <f t="shared" si="6"/>
        <v>139.559</v>
      </c>
    </row>
    <row r="21" spans="2:14" x14ac:dyDescent="0.25">
      <c r="B21" s="195"/>
      <c r="C21" s="15" t="s">
        <v>48</v>
      </c>
      <c r="D21" s="9" t="s">
        <v>49</v>
      </c>
      <c r="E21" s="101">
        <v>150</v>
      </c>
      <c r="F21" s="28">
        <v>180</v>
      </c>
      <c r="G21" s="17">
        <f>E21*0.6/200</f>
        <v>0.45</v>
      </c>
      <c r="H21" s="30">
        <f>F21*0.6/200</f>
        <v>0.54</v>
      </c>
      <c r="I21" s="17">
        <f t="shared" ref="I21:J21" si="7">E21*0.1/200</f>
        <v>7.4999999999999997E-2</v>
      </c>
      <c r="J21" s="30">
        <f t="shared" si="7"/>
        <v>0.09</v>
      </c>
      <c r="K21" s="17">
        <f>E21*20.1/200</f>
        <v>15.074999999999999</v>
      </c>
      <c r="L21" s="30">
        <f>F21*20.1/200</f>
        <v>18.090000000000003</v>
      </c>
      <c r="M21" s="17">
        <f t="shared" si="6"/>
        <v>62.774999999999999</v>
      </c>
      <c r="N21" s="32">
        <f t="shared" si="6"/>
        <v>75.330000000000013</v>
      </c>
    </row>
    <row r="22" spans="2:14" x14ac:dyDescent="0.25">
      <c r="B22" s="195"/>
      <c r="C22" s="16" t="s">
        <v>139</v>
      </c>
      <c r="D22" s="6" t="s">
        <v>22</v>
      </c>
      <c r="E22" s="65">
        <v>25</v>
      </c>
      <c r="F22" s="62">
        <v>30</v>
      </c>
      <c r="G22" s="17">
        <f>E22*8/100</f>
        <v>2</v>
      </c>
      <c r="H22" s="30">
        <f>F22*8/100</f>
        <v>2.4</v>
      </c>
      <c r="I22" s="17">
        <f>E22*1.5/100</f>
        <v>0.375</v>
      </c>
      <c r="J22" s="30">
        <f>F22*1.5/100</f>
        <v>0.45</v>
      </c>
      <c r="K22" s="17">
        <f>E22*40.1/100</f>
        <v>10.025</v>
      </c>
      <c r="L22" s="30">
        <f>F22*40.1/100</f>
        <v>12.03</v>
      </c>
      <c r="M22" s="17">
        <f t="shared" ref="M22:N23" si="8">G22*4+I22*9+K22*4</f>
        <v>51.475000000000001</v>
      </c>
      <c r="N22" s="32">
        <f t="shared" si="8"/>
        <v>61.769999999999996</v>
      </c>
    </row>
    <row r="23" spans="2:14" x14ac:dyDescent="0.25">
      <c r="B23" s="195"/>
      <c r="C23" s="16" t="s">
        <v>137</v>
      </c>
      <c r="D23" s="6" t="s">
        <v>138</v>
      </c>
      <c r="E23" s="65">
        <v>25</v>
      </c>
      <c r="F23" s="62">
        <v>30</v>
      </c>
      <c r="G23" s="17">
        <f>E23*7.6/100</f>
        <v>1.9</v>
      </c>
      <c r="H23" s="30">
        <f>F23*7.6/100</f>
        <v>2.2799999999999998</v>
      </c>
      <c r="I23" s="17">
        <f>E23*0.8/100</f>
        <v>0.2</v>
      </c>
      <c r="J23" s="30">
        <f>F23*0.8/100</f>
        <v>0.24</v>
      </c>
      <c r="K23" s="17">
        <f>E23*49.2/100</f>
        <v>12.3</v>
      </c>
      <c r="L23" s="30">
        <f>F23*49.2/100</f>
        <v>14.76</v>
      </c>
      <c r="M23" s="17">
        <f t="shared" si="8"/>
        <v>58.6</v>
      </c>
      <c r="N23" s="32">
        <f t="shared" si="8"/>
        <v>70.319999999999993</v>
      </c>
    </row>
    <row r="24" spans="2:14" x14ac:dyDescent="0.25">
      <c r="B24" s="195"/>
      <c r="C24" s="16"/>
      <c r="D24" s="4" t="s">
        <v>14</v>
      </c>
      <c r="E24" s="21">
        <f t="shared" ref="E24:N24" si="9">SUM(E17:E23)</f>
        <v>550</v>
      </c>
      <c r="F24" s="35">
        <f t="shared" si="9"/>
        <v>690</v>
      </c>
      <c r="G24" s="7">
        <f t="shared" si="9"/>
        <v>13.935</v>
      </c>
      <c r="H24" s="31">
        <f t="shared" si="9"/>
        <v>17.730999999999998</v>
      </c>
      <c r="I24" s="7">
        <f t="shared" si="9"/>
        <v>14.689</v>
      </c>
      <c r="J24" s="31">
        <f t="shared" si="9"/>
        <v>20.084999999999997</v>
      </c>
      <c r="K24" s="7">
        <f t="shared" si="9"/>
        <v>66.27</v>
      </c>
      <c r="L24" s="31">
        <f t="shared" si="9"/>
        <v>82.429000000000002</v>
      </c>
      <c r="M24" s="7">
        <f t="shared" si="9"/>
        <v>453.02100000000002</v>
      </c>
      <c r="N24" s="33">
        <f t="shared" si="9"/>
        <v>581.40499999999997</v>
      </c>
    </row>
    <row r="25" spans="2:14" x14ac:dyDescent="0.25">
      <c r="B25" s="195"/>
      <c r="C25" s="191" t="s">
        <v>84</v>
      </c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3"/>
    </row>
    <row r="26" spans="2:14" x14ac:dyDescent="0.25">
      <c r="B26" s="195"/>
      <c r="C26" s="16" t="s">
        <v>227</v>
      </c>
      <c r="D26" s="6" t="s">
        <v>228</v>
      </c>
      <c r="E26" s="101">
        <v>75</v>
      </c>
      <c r="F26" s="28">
        <v>75</v>
      </c>
      <c r="G26" s="17">
        <f>E26*3/75</f>
        <v>3</v>
      </c>
      <c r="H26" s="30">
        <f>F26*3/75</f>
        <v>3</v>
      </c>
      <c r="I26" s="17">
        <f>E26*1.6/100</f>
        <v>1.2</v>
      </c>
      <c r="J26" s="30">
        <f>F26*1.6/100</f>
        <v>1.2</v>
      </c>
      <c r="K26" s="17">
        <f>E26*6/100</f>
        <v>4.5</v>
      </c>
      <c r="L26" s="30">
        <f>F26*6/100</f>
        <v>4.5</v>
      </c>
      <c r="M26" s="17">
        <f t="shared" ref="M26:N27" si="10">G26*4+I26*9+K26*4</f>
        <v>40.799999999999997</v>
      </c>
      <c r="N26" s="32">
        <f t="shared" si="10"/>
        <v>40.799999999999997</v>
      </c>
    </row>
    <row r="27" spans="2:14" x14ac:dyDescent="0.25">
      <c r="B27" s="195"/>
      <c r="C27" s="16" t="s">
        <v>137</v>
      </c>
      <c r="D27" s="6" t="s">
        <v>138</v>
      </c>
      <c r="E27" s="65">
        <v>25</v>
      </c>
      <c r="F27" s="62">
        <v>30</v>
      </c>
      <c r="G27" s="17">
        <f>E27*7.6/100</f>
        <v>1.9</v>
      </c>
      <c r="H27" s="30">
        <f>F27*7.6/100</f>
        <v>2.2799999999999998</v>
      </c>
      <c r="I27" s="17">
        <f>E27*0.8/100</f>
        <v>0.2</v>
      </c>
      <c r="J27" s="30">
        <f>F27*0.8/100</f>
        <v>0.24</v>
      </c>
      <c r="K27" s="17">
        <f>E27*49.2/100</f>
        <v>12.3</v>
      </c>
      <c r="L27" s="30">
        <f>F27*49.2/100</f>
        <v>14.76</v>
      </c>
      <c r="M27" s="17">
        <f t="shared" si="10"/>
        <v>58.6</v>
      </c>
      <c r="N27" s="32">
        <f t="shared" si="10"/>
        <v>70.319999999999993</v>
      </c>
    </row>
    <row r="28" spans="2:14" x14ac:dyDescent="0.25">
      <c r="B28" s="195"/>
      <c r="C28" s="16" t="s">
        <v>44</v>
      </c>
      <c r="D28" s="6" t="s">
        <v>11</v>
      </c>
      <c r="E28" s="101">
        <v>180</v>
      </c>
      <c r="F28" s="28">
        <v>200</v>
      </c>
      <c r="G28" s="17">
        <f>E28*0.3/200</f>
        <v>0.27</v>
      </c>
      <c r="H28" s="30">
        <f>F28*0.3/200</f>
        <v>0.3</v>
      </c>
      <c r="I28" s="17">
        <f t="shared" ref="I28:J28" si="11">E28*0.1/200</f>
        <v>0.09</v>
      </c>
      <c r="J28" s="30">
        <f t="shared" si="11"/>
        <v>0.1</v>
      </c>
      <c r="K28" s="17">
        <f>E28*9.5/200</f>
        <v>8.5500000000000007</v>
      </c>
      <c r="L28" s="30">
        <f>F28*9.5/200</f>
        <v>9.5</v>
      </c>
      <c r="M28" s="17">
        <f t="shared" ref="M28:N28" si="12">G28*4+I28*9+K28*4</f>
        <v>36.090000000000003</v>
      </c>
      <c r="N28" s="32">
        <f t="shared" si="12"/>
        <v>40.1</v>
      </c>
    </row>
    <row r="29" spans="2:14" x14ac:dyDescent="0.25">
      <c r="B29" s="195"/>
      <c r="C29" s="44"/>
      <c r="D29" s="51" t="s">
        <v>81</v>
      </c>
      <c r="E29" s="52">
        <f t="shared" ref="E29:N29" si="13">SUM(E26:E28)</f>
        <v>280</v>
      </c>
      <c r="F29" s="53">
        <f t="shared" si="13"/>
        <v>305</v>
      </c>
      <c r="G29" s="54">
        <f t="shared" si="13"/>
        <v>5.17</v>
      </c>
      <c r="H29" s="55">
        <f t="shared" si="13"/>
        <v>5.5799999999999992</v>
      </c>
      <c r="I29" s="54">
        <f t="shared" si="13"/>
        <v>1.49</v>
      </c>
      <c r="J29" s="55">
        <f t="shared" si="13"/>
        <v>1.54</v>
      </c>
      <c r="K29" s="54">
        <f t="shared" si="13"/>
        <v>25.35</v>
      </c>
      <c r="L29" s="55">
        <f t="shared" si="13"/>
        <v>28.759999999999998</v>
      </c>
      <c r="M29" s="54">
        <f t="shared" si="13"/>
        <v>135.49</v>
      </c>
      <c r="N29" s="56">
        <f t="shared" si="13"/>
        <v>151.22</v>
      </c>
    </row>
    <row r="30" spans="2:14" ht="15.75" thickBot="1" x14ac:dyDescent="0.3">
      <c r="B30" s="196"/>
      <c r="C30" s="22"/>
      <c r="D30" s="13" t="s">
        <v>12</v>
      </c>
      <c r="E30" s="18"/>
      <c r="F30" s="45"/>
      <c r="G30" s="14">
        <f t="shared" ref="G30:N30" si="14">G29+G24+G15+G12</f>
        <v>25.219000000000001</v>
      </c>
      <c r="H30" s="36">
        <f t="shared" si="14"/>
        <v>30.350999999999996</v>
      </c>
      <c r="I30" s="14">
        <f t="shared" si="14"/>
        <v>26.834</v>
      </c>
      <c r="J30" s="36">
        <f t="shared" si="14"/>
        <v>34.424999999999997</v>
      </c>
      <c r="K30" s="14">
        <f t="shared" si="14"/>
        <v>140.62899999999999</v>
      </c>
      <c r="L30" s="36">
        <f t="shared" si="14"/>
        <v>166.86899999999997</v>
      </c>
      <c r="M30" s="14">
        <f t="shared" si="14"/>
        <v>904.89799999999991</v>
      </c>
      <c r="N30" s="38">
        <f t="shared" si="14"/>
        <v>1098.7049999999999</v>
      </c>
    </row>
  </sheetData>
  <mergeCells count="15">
    <mergeCell ref="M4:N5"/>
    <mergeCell ref="G5:H5"/>
    <mergeCell ref="I5:J5"/>
    <mergeCell ref="K5:L5"/>
    <mergeCell ref="B3:E3"/>
    <mergeCell ref="B4:B6"/>
    <mergeCell ref="C4:C6"/>
    <mergeCell ref="D4:D6"/>
    <mergeCell ref="E4:F5"/>
    <mergeCell ref="G4:L4"/>
    <mergeCell ref="B7:B30"/>
    <mergeCell ref="C7:N7"/>
    <mergeCell ref="C13:N13"/>
    <mergeCell ref="C16:N16"/>
    <mergeCell ref="C25:N2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3:Z31"/>
  <sheetViews>
    <sheetView zoomScale="90" zoomScaleNormal="90" zoomScalePageLayoutView="90" workbookViewId="0">
      <selection activeCell="C8" sqref="C8:N8"/>
    </sheetView>
  </sheetViews>
  <sheetFormatPr defaultColWidth="9.140625" defaultRowHeight="15" x14ac:dyDescent="0.25"/>
  <cols>
    <col min="1" max="1" width="5.7109375" style="12" customWidth="1"/>
    <col min="2" max="2" width="2.7109375" style="12" customWidth="1"/>
    <col min="3" max="3" width="10.5703125" style="12" customWidth="1"/>
    <col min="4" max="4" width="38.5703125" style="12" customWidth="1"/>
    <col min="5" max="6" width="7.28515625" style="12" customWidth="1"/>
    <col min="7" max="7" width="6.7109375" style="12" customWidth="1"/>
    <col min="8" max="8" width="6.85546875" style="12" customWidth="1"/>
    <col min="9" max="9" width="6.42578125" style="12" customWidth="1"/>
    <col min="10" max="10" width="6.5703125" style="12" customWidth="1"/>
    <col min="11" max="11" width="7.5703125" style="12" customWidth="1"/>
    <col min="12" max="12" width="7.42578125" style="12" customWidth="1"/>
    <col min="13" max="13" width="8.5703125" style="12" customWidth="1"/>
    <col min="14" max="14" width="7.5703125" style="12" customWidth="1"/>
    <col min="15" max="15" width="9" style="12" customWidth="1"/>
    <col min="16" max="16" width="7.28515625" style="12" customWidth="1"/>
    <col min="17" max="20" width="9.140625" style="12"/>
    <col min="21" max="21" width="19.7109375" style="12" customWidth="1"/>
    <col min="22" max="22" width="7.7109375" style="12" customWidth="1"/>
    <col min="23" max="23" width="9.140625" style="12"/>
    <col min="24" max="24" width="7.7109375" style="12" customWidth="1"/>
    <col min="25" max="16384" width="9.140625" style="12"/>
  </cols>
  <sheetData>
    <row r="3" spans="2:26" ht="15" customHeight="1" thickBot="1" x14ac:dyDescent="0.3">
      <c r="B3" s="172" t="s">
        <v>18</v>
      </c>
      <c r="C3" s="172"/>
      <c r="D3" s="172"/>
      <c r="E3" s="172"/>
      <c r="O3" s="2"/>
      <c r="P3" s="2"/>
      <c r="Q3" s="1"/>
      <c r="R3" s="1"/>
      <c r="S3" s="1"/>
      <c r="T3" s="1"/>
      <c r="U3" s="2"/>
      <c r="V3" s="2"/>
      <c r="W3" s="1"/>
      <c r="X3" s="1"/>
      <c r="Y3" s="1"/>
      <c r="Z3" s="1"/>
    </row>
    <row r="4" spans="2:26" ht="15" customHeight="1" x14ac:dyDescent="0.25">
      <c r="B4" s="197" t="s">
        <v>39</v>
      </c>
      <c r="C4" s="181" t="s">
        <v>0</v>
      </c>
      <c r="D4" s="184" t="s">
        <v>1</v>
      </c>
      <c r="E4" s="187" t="s">
        <v>6</v>
      </c>
      <c r="F4" s="188"/>
      <c r="G4" s="200" t="s">
        <v>7</v>
      </c>
      <c r="H4" s="200"/>
      <c r="I4" s="200"/>
      <c r="J4" s="200"/>
      <c r="K4" s="200"/>
      <c r="L4" s="200"/>
      <c r="M4" s="201" t="s">
        <v>5</v>
      </c>
      <c r="N4" s="202"/>
      <c r="O4" s="1"/>
      <c r="P4" s="3"/>
      <c r="Q4" s="5"/>
      <c r="R4" s="5"/>
      <c r="S4" s="5"/>
      <c r="T4" s="5"/>
      <c r="U4" s="1"/>
      <c r="V4" s="3"/>
      <c r="W4" s="5"/>
      <c r="X4" s="5"/>
      <c r="Y4" s="5"/>
      <c r="Z4" s="5"/>
    </row>
    <row r="5" spans="2:26" x14ac:dyDescent="0.25">
      <c r="B5" s="198"/>
      <c r="C5" s="182"/>
      <c r="D5" s="185"/>
      <c r="E5" s="189"/>
      <c r="F5" s="190"/>
      <c r="G5" s="205" t="s">
        <v>3</v>
      </c>
      <c r="H5" s="205"/>
      <c r="I5" s="203" t="s">
        <v>2</v>
      </c>
      <c r="J5" s="203"/>
      <c r="K5" s="205" t="s">
        <v>4</v>
      </c>
      <c r="L5" s="205"/>
      <c r="M5" s="203"/>
      <c r="N5" s="204"/>
      <c r="O5" s="1"/>
      <c r="P5" s="3"/>
      <c r="Q5" s="5"/>
      <c r="R5" s="5"/>
      <c r="S5" s="5"/>
      <c r="T5" s="5"/>
      <c r="U5" s="1"/>
      <c r="V5" s="3"/>
      <c r="W5" s="5"/>
      <c r="X5" s="5"/>
      <c r="Y5" s="5"/>
      <c r="Z5" s="5"/>
    </row>
    <row r="6" spans="2:26" ht="21" customHeight="1" thickBot="1" x14ac:dyDescent="0.3">
      <c r="B6" s="199"/>
      <c r="C6" s="183"/>
      <c r="D6" s="186"/>
      <c r="E6" s="58" t="s">
        <v>82</v>
      </c>
      <c r="F6" s="59" t="s">
        <v>83</v>
      </c>
      <c r="G6" s="58" t="s">
        <v>82</v>
      </c>
      <c r="H6" s="60" t="s">
        <v>83</v>
      </c>
      <c r="I6" s="58" t="s">
        <v>82</v>
      </c>
      <c r="J6" s="60" t="s">
        <v>83</v>
      </c>
      <c r="K6" s="58" t="s">
        <v>82</v>
      </c>
      <c r="L6" s="60" t="s">
        <v>83</v>
      </c>
      <c r="M6" s="58" t="s">
        <v>82</v>
      </c>
      <c r="N6" s="61" t="s">
        <v>83</v>
      </c>
      <c r="O6" s="1"/>
      <c r="P6" s="3"/>
      <c r="Q6" s="5"/>
      <c r="R6" s="5"/>
      <c r="S6" s="5"/>
      <c r="T6" s="5"/>
      <c r="U6" s="1"/>
      <c r="V6" s="3"/>
      <c r="W6" s="5"/>
      <c r="X6" s="5"/>
      <c r="Y6" s="5"/>
      <c r="Z6" s="5"/>
    </row>
    <row r="7" spans="2:26" ht="15" customHeight="1" x14ac:dyDescent="0.25">
      <c r="B7" s="194" t="s">
        <v>47</v>
      </c>
      <c r="C7" s="175" t="s">
        <v>8</v>
      </c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7"/>
    </row>
    <row r="8" spans="2:26" ht="15" customHeight="1" x14ac:dyDescent="0.25">
      <c r="B8" s="195"/>
      <c r="C8" s="16" t="s">
        <v>265</v>
      </c>
      <c r="D8" s="106" t="s">
        <v>266</v>
      </c>
      <c r="E8" s="102">
        <v>200</v>
      </c>
      <c r="F8" s="28">
        <v>250</v>
      </c>
      <c r="G8" s="17">
        <f>E8*2.8/100</f>
        <v>5.6</v>
      </c>
      <c r="H8" s="30">
        <f>F8*2.8/100</f>
        <v>7</v>
      </c>
      <c r="I8" s="17">
        <f>E8*3.16/100</f>
        <v>6.32</v>
      </c>
      <c r="J8" s="30">
        <f>F8*3.16/100</f>
        <v>7.9</v>
      </c>
      <c r="K8" s="17">
        <f>E8*9.88/100</f>
        <v>19.760000000000002</v>
      </c>
      <c r="L8" s="30">
        <f>F8*9.88/100</f>
        <v>24.7</v>
      </c>
      <c r="M8" s="17">
        <f t="shared" ref="M8:N8" si="0">G8*4+I8*9+K8*4</f>
        <v>158.32</v>
      </c>
      <c r="N8" s="32">
        <f t="shared" si="0"/>
        <v>197.9</v>
      </c>
    </row>
    <row r="9" spans="2:26" x14ac:dyDescent="0.25">
      <c r="B9" s="195"/>
      <c r="C9" s="16" t="s">
        <v>137</v>
      </c>
      <c r="D9" s="6" t="s">
        <v>138</v>
      </c>
      <c r="E9" s="65">
        <v>25</v>
      </c>
      <c r="F9" s="62">
        <v>30</v>
      </c>
      <c r="G9" s="17">
        <f>E9*7.6/100</f>
        <v>1.9</v>
      </c>
      <c r="H9" s="30">
        <f>F9*7.6/100</f>
        <v>2.2799999999999998</v>
      </c>
      <c r="I9" s="17">
        <f>E9*0.8/100</f>
        <v>0.2</v>
      </c>
      <c r="J9" s="30">
        <f>F9*0.8/100</f>
        <v>0.24</v>
      </c>
      <c r="K9" s="17">
        <f>E9*49.2/100</f>
        <v>12.3</v>
      </c>
      <c r="L9" s="30">
        <f>F9*49.2/100</f>
        <v>14.76</v>
      </c>
      <c r="M9" s="17">
        <f t="shared" ref="M9:N9" si="1">G9*4+I9*9+K9*4</f>
        <v>58.6</v>
      </c>
      <c r="N9" s="32">
        <f t="shared" si="1"/>
        <v>70.319999999999993</v>
      </c>
    </row>
    <row r="10" spans="2:26" x14ac:dyDescent="0.25">
      <c r="B10" s="195"/>
      <c r="C10" s="48" t="s">
        <v>140</v>
      </c>
      <c r="D10" s="49" t="s">
        <v>141</v>
      </c>
      <c r="E10" s="98">
        <v>8</v>
      </c>
      <c r="F10" s="50">
        <v>10</v>
      </c>
      <c r="G10" s="17">
        <f>E10*23.2/100</f>
        <v>1.8559999999999999</v>
      </c>
      <c r="H10" s="30">
        <f>F10*23.2/100</f>
        <v>2.3199999999999998</v>
      </c>
      <c r="I10" s="17">
        <f>E10*29.5/100</f>
        <v>2.36</v>
      </c>
      <c r="J10" s="30">
        <f>F10*29.5/100</f>
        <v>2.95</v>
      </c>
      <c r="K10" s="17">
        <f>E10*0/100</f>
        <v>0</v>
      </c>
      <c r="L10" s="30">
        <f>F10*0/100</f>
        <v>0</v>
      </c>
      <c r="M10" s="17">
        <f t="shared" ref="M10:N12" si="2">G10*4+I10*9+K10*4</f>
        <v>28.663999999999998</v>
      </c>
      <c r="N10" s="32">
        <f t="shared" si="2"/>
        <v>35.83</v>
      </c>
    </row>
    <row r="11" spans="2:26" x14ac:dyDescent="0.25">
      <c r="B11" s="195"/>
      <c r="C11" s="15" t="s">
        <v>87</v>
      </c>
      <c r="D11" s="9" t="s">
        <v>88</v>
      </c>
      <c r="E11" s="101">
        <v>180</v>
      </c>
      <c r="F11" s="28">
        <v>200</v>
      </c>
      <c r="G11" s="17">
        <f>E11*1.4/200</f>
        <v>1.2599999999999998</v>
      </c>
      <c r="H11" s="30">
        <f>F11*1.4/200</f>
        <v>1.4</v>
      </c>
      <c r="I11" s="17">
        <f>E11*1.2/200</f>
        <v>1.08</v>
      </c>
      <c r="J11" s="30">
        <f>F11*1.2/200</f>
        <v>1.2</v>
      </c>
      <c r="K11" s="17">
        <f>E11*11.4/200</f>
        <v>10.26</v>
      </c>
      <c r="L11" s="30">
        <f>F11*11.4/200</f>
        <v>11.4</v>
      </c>
      <c r="M11" s="17">
        <f t="shared" si="2"/>
        <v>55.8</v>
      </c>
      <c r="N11" s="32">
        <f t="shared" si="2"/>
        <v>62</v>
      </c>
    </row>
    <row r="12" spans="2:26" x14ac:dyDescent="0.25">
      <c r="B12" s="195"/>
      <c r="C12" s="23"/>
      <c r="D12" s="4" t="s">
        <v>13</v>
      </c>
      <c r="E12" s="21">
        <f>SUM(E8:E11)</f>
        <v>413</v>
      </c>
      <c r="F12" s="29">
        <f t="shared" ref="F12" si="3">SUM(F8:F11)</f>
        <v>490</v>
      </c>
      <c r="G12" s="7">
        <f>SUM(G8:G11)</f>
        <v>10.616</v>
      </c>
      <c r="H12" s="31">
        <f t="shared" ref="H12:K12" si="4">SUM(H8:H11)</f>
        <v>13</v>
      </c>
      <c r="I12" s="7">
        <f t="shared" si="4"/>
        <v>9.9600000000000009</v>
      </c>
      <c r="J12" s="31">
        <f t="shared" si="4"/>
        <v>12.29</v>
      </c>
      <c r="K12" s="7">
        <f t="shared" si="4"/>
        <v>42.32</v>
      </c>
      <c r="L12" s="31">
        <f>SUM(L8:L11)</f>
        <v>50.86</v>
      </c>
      <c r="M12" s="7">
        <f>G12*4+I12*9+K12*4</f>
        <v>301.38400000000001</v>
      </c>
      <c r="N12" s="33">
        <f t="shared" si="2"/>
        <v>366.04999999999995</v>
      </c>
    </row>
    <row r="13" spans="2:26" x14ac:dyDescent="0.25">
      <c r="B13" s="195"/>
      <c r="C13" s="178" t="s">
        <v>79</v>
      </c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80"/>
    </row>
    <row r="14" spans="2:26" x14ac:dyDescent="0.25">
      <c r="B14" s="195"/>
      <c r="C14" s="16" t="s">
        <v>172</v>
      </c>
      <c r="D14" s="6" t="s">
        <v>173</v>
      </c>
      <c r="E14" s="101">
        <v>150</v>
      </c>
      <c r="F14" s="28">
        <v>150</v>
      </c>
      <c r="G14" s="17">
        <f>E14*0.4/100</f>
        <v>0.6</v>
      </c>
      <c r="H14" s="30">
        <f>F14*0.4/100</f>
        <v>0.6</v>
      </c>
      <c r="I14" s="17">
        <f>E14*0.4/100</f>
        <v>0.6</v>
      </c>
      <c r="J14" s="30">
        <f>F14*0.4/100</f>
        <v>0.6</v>
      </c>
      <c r="K14" s="17">
        <f>E14*9.8/100</f>
        <v>14.7</v>
      </c>
      <c r="L14" s="30">
        <f>F14*9.8/100</f>
        <v>14.7</v>
      </c>
      <c r="M14" s="17">
        <f t="shared" ref="M14:N14" si="5">G14*4+I14*9+K14*4</f>
        <v>66.599999999999994</v>
      </c>
      <c r="N14" s="32">
        <f t="shared" si="5"/>
        <v>66.599999999999994</v>
      </c>
    </row>
    <row r="15" spans="2:26" x14ac:dyDescent="0.25">
      <c r="B15" s="195"/>
      <c r="C15" s="15"/>
      <c r="D15" s="4" t="s">
        <v>80</v>
      </c>
      <c r="E15" s="21">
        <f t="shared" ref="E15" si="6">SUM(E14)</f>
        <v>150</v>
      </c>
      <c r="F15" s="29">
        <f t="shared" ref="F15:L15" si="7">SUM(F14)</f>
        <v>150</v>
      </c>
      <c r="G15" s="7">
        <f t="shared" si="7"/>
        <v>0.6</v>
      </c>
      <c r="H15" s="31">
        <f t="shared" si="7"/>
        <v>0.6</v>
      </c>
      <c r="I15" s="7">
        <f t="shared" si="7"/>
        <v>0.6</v>
      </c>
      <c r="J15" s="31">
        <f t="shared" si="7"/>
        <v>0.6</v>
      </c>
      <c r="K15" s="7">
        <f t="shared" si="7"/>
        <v>14.7</v>
      </c>
      <c r="L15" s="31">
        <f t="shared" si="7"/>
        <v>14.7</v>
      </c>
      <c r="M15" s="7">
        <f>G15*4+I15*9+K15*4</f>
        <v>66.599999999999994</v>
      </c>
      <c r="N15" s="33">
        <f>H15*4+J15*9+L15*4</f>
        <v>66.599999999999994</v>
      </c>
    </row>
    <row r="16" spans="2:26" x14ac:dyDescent="0.25">
      <c r="B16" s="195"/>
      <c r="C16" s="178" t="s">
        <v>9</v>
      </c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80"/>
    </row>
    <row r="17" spans="2:14" x14ac:dyDescent="0.25">
      <c r="B17" s="195"/>
      <c r="C17" s="57" t="s">
        <v>36</v>
      </c>
      <c r="D17" s="9" t="s">
        <v>230</v>
      </c>
      <c r="E17" s="101">
        <v>30</v>
      </c>
      <c r="F17" s="34">
        <v>50</v>
      </c>
      <c r="G17" s="17">
        <f>E17*0/100</f>
        <v>0</v>
      </c>
      <c r="H17" s="30">
        <f>F17*0/100</f>
        <v>0</v>
      </c>
      <c r="I17" s="17">
        <f>E17*0/100</f>
        <v>0</v>
      </c>
      <c r="J17" s="30">
        <f>F17*0/100</f>
        <v>0</v>
      </c>
      <c r="K17" s="17">
        <f>E17*3/100</f>
        <v>0.9</v>
      </c>
      <c r="L17" s="30">
        <f>F17*3/100</f>
        <v>1.5</v>
      </c>
      <c r="M17" s="19">
        <f t="shared" ref="M17:N17" si="8">G17*4+I17*9+K17*4</f>
        <v>3.6</v>
      </c>
      <c r="N17" s="37">
        <f t="shared" si="8"/>
        <v>6</v>
      </c>
    </row>
    <row r="18" spans="2:14" x14ac:dyDescent="0.25">
      <c r="B18" s="195"/>
      <c r="C18" s="47" t="s">
        <v>57</v>
      </c>
      <c r="D18" s="43" t="s">
        <v>59</v>
      </c>
      <c r="E18" s="98">
        <v>150</v>
      </c>
      <c r="F18" s="34">
        <v>180</v>
      </c>
      <c r="G18" s="17">
        <f>E18*2.48/100</f>
        <v>3.72</v>
      </c>
      <c r="H18" s="30">
        <f>F18*2.48/100</f>
        <v>4.4639999999999995</v>
      </c>
      <c r="I18" s="17">
        <f>E18*2.24/100</f>
        <v>3.3600000000000008</v>
      </c>
      <c r="J18" s="30">
        <f>F18*2.24/100</f>
        <v>4.032</v>
      </c>
      <c r="K18" s="17">
        <f>E18*8.92/100</f>
        <v>13.38</v>
      </c>
      <c r="L18" s="30">
        <f>F18*8.92/100</f>
        <v>16.055999999999997</v>
      </c>
      <c r="M18" s="17">
        <f t="shared" ref="M18:N22" si="9">G18*4+I18*9+K18*4</f>
        <v>98.640000000000015</v>
      </c>
      <c r="N18" s="32">
        <f>H18*4+J18*9+L18*4</f>
        <v>118.36799999999998</v>
      </c>
    </row>
    <row r="19" spans="2:14" x14ac:dyDescent="0.25">
      <c r="B19" s="195"/>
      <c r="C19" s="15" t="s">
        <v>147</v>
      </c>
      <c r="D19" s="9" t="s">
        <v>148</v>
      </c>
      <c r="E19" s="98">
        <v>150</v>
      </c>
      <c r="F19" s="28">
        <v>200</v>
      </c>
      <c r="G19" s="17">
        <f>E19*5.7/100</f>
        <v>8.5500000000000007</v>
      </c>
      <c r="H19" s="30">
        <f>F19*5.7/100</f>
        <v>11.4</v>
      </c>
      <c r="I19" s="17">
        <f>E19*9.45/100</f>
        <v>14.175000000000001</v>
      </c>
      <c r="J19" s="30">
        <f>F19*9.45/100</f>
        <v>18.899999999999999</v>
      </c>
      <c r="K19" s="17">
        <f>E19*9.4/100</f>
        <v>14.1</v>
      </c>
      <c r="L19" s="30">
        <f>F19*9.4/100</f>
        <v>18.8</v>
      </c>
      <c r="M19" s="17">
        <f t="shared" si="9"/>
        <v>218.17500000000001</v>
      </c>
      <c r="N19" s="32">
        <f t="shared" si="9"/>
        <v>290.89999999999998</v>
      </c>
    </row>
    <row r="20" spans="2:14" x14ac:dyDescent="0.25">
      <c r="B20" s="195"/>
      <c r="C20" s="15" t="s">
        <v>43</v>
      </c>
      <c r="D20" s="9" t="s">
        <v>91</v>
      </c>
      <c r="E20" s="102">
        <v>150</v>
      </c>
      <c r="F20" s="28">
        <v>180</v>
      </c>
      <c r="G20" s="17">
        <f>E20*0.67/200</f>
        <v>0.50249999999999995</v>
      </c>
      <c r="H20" s="30">
        <f>F20*0.67/200</f>
        <v>0.60300000000000009</v>
      </c>
      <c r="I20" s="17">
        <f>E20*0.27/200</f>
        <v>0.20250000000000001</v>
      </c>
      <c r="J20" s="30">
        <f>F20*0.27/200</f>
        <v>0.24299999999999999</v>
      </c>
      <c r="K20" s="17">
        <f>E20*18.3/200</f>
        <v>13.725</v>
      </c>
      <c r="L20" s="30">
        <f>F20*18.3/200</f>
        <v>16.47</v>
      </c>
      <c r="M20" s="17">
        <f t="shared" si="9"/>
        <v>58.732500000000002</v>
      </c>
      <c r="N20" s="32">
        <f t="shared" si="9"/>
        <v>70.478999999999999</v>
      </c>
    </row>
    <row r="21" spans="2:14" x14ac:dyDescent="0.25">
      <c r="B21" s="195"/>
      <c r="C21" s="16" t="s">
        <v>139</v>
      </c>
      <c r="D21" s="6" t="s">
        <v>22</v>
      </c>
      <c r="E21" s="65">
        <v>25</v>
      </c>
      <c r="F21" s="62">
        <v>30</v>
      </c>
      <c r="G21" s="17">
        <f>E21*8/100</f>
        <v>2</v>
      </c>
      <c r="H21" s="30">
        <f>F21*8/100</f>
        <v>2.4</v>
      </c>
      <c r="I21" s="17">
        <f>E21*1.5/100</f>
        <v>0.375</v>
      </c>
      <c r="J21" s="30">
        <f>F21*1.5/100</f>
        <v>0.45</v>
      </c>
      <c r="K21" s="17">
        <f>E21*40.1/100</f>
        <v>10.025</v>
      </c>
      <c r="L21" s="30">
        <f>F21*40.1/100</f>
        <v>12.03</v>
      </c>
      <c r="M21" s="17">
        <f t="shared" si="9"/>
        <v>51.475000000000001</v>
      </c>
      <c r="N21" s="32">
        <f t="shared" si="9"/>
        <v>61.769999999999996</v>
      </c>
    </row>
    <row r="22" spans="2:14" x14ac:dyDescent="0.25">
      <c r="B22" s="195"/>
      <c r="C22" s="16" t="s">
        <v>137</v>
      </c>
      <c r="D22" s="6" t="s">
        <v>138</v>
      </c>
      <c r="E22" s="65">
        <v>25</v>
      </c>
      <c r="F22" s="62">
        <v>30</v>
      </c>
      <c r="G22" s="17">
        <f>E22*7.6/100</f>
        <v>1.9</v>
      </c>
      <c r="H22" s="30">
        <f>F22*7.6/100</f>
        <v>2.2799999999999998</v>
      </c>
      <c r="I22" s="17">
        <f>E22*0.8/100</f>
        <v>0.2</v>
      </c>
      <c r="J22" s="30">
        <f>F22*0.8/100</f>
        <v>0.24</v>
      </c>
      <c r="K22" s="17">
        <f>E22*49.2/100</f>
        <v>12.3</v>
      </c>
      <c r="L22" s="30">
        <f>F22*49.2/100</f>
        <v>14.76</v>
      </c>
      <c r="M22" s="17">
        <f t="shared" si="9"/>
        <v>58.6</v>
      </c>
      <c r="N22" s="32">
        <f t="shared" si="9"/>
        <v>70.319999999999993</v>
      </c>
    </row>
    <row r="23" spans="2:14" x14ac:dyDescent="0.25">
      <c r="B23" s="195"/>
      <c r="C23" s="16"/>
      <c r="D23" s="4" t="s">
        <v>14</v>
      </c>
      <c r="E23" s="21">
        <f t="shared" ref="E23:N23" si="10">SUM(E17:E22)</f>
        <v>530</v>
      </c>
      <c r="F23" s="35">
        <f t="shared" si="10"/>
        <v>670</v>
      </c>
      <c r="G23" s="7">
        <f t="shared" si="10"/>
        <v>16.672499999999999</v>
      </c>
      <c r="H23" s="31">
        <f t="shared" si="10"/>
        <v>21.147000000000002</v>
      </c>
      <c r="I23" s="7">
        <f t="shared" si="10"/>
        <v>18.3125</v>
      </c>
      <c r="J23" s="31">
        <f t="shared" si="10"/>
        <v>23.864999999999995</v>
      </c>
      <c r="K23" s="7">
        <f t="shared" si="10"/>
        <v>64.430000000000007</v>
      </c>
      <c r="L23" s="31">
        <f t="shared" si="10"/>
        <v>79.616</v>
      </c>
      <c r="M23" s="7">
        <f t="shared" si="10"/>
        <v>489.22250000000008</v>
      </c>
      <c r="N23" s="33">
        <f t="shared" si="10"/>
        <v>617.83699999999999</v>
      </c>
    </row>
    <row r="24" spans="2:14" x14ac:dyDescent="0.25">
      <c r="B24" s="195"/>
      <c r="C24" s="191" t="s">
        <v>84</v>
      </c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3"/>
    </row>
    <row r="25" spans="2:14" x14ac:dyDescent="0.25">
      <c r="B25" s="195"/>
      <c r="C25" s="15" t="s">
        <v>233</v>
      </c>
      <c r="D25" s="8" t="s">
        <v>234</v>
      </c>
      <c r="E25" s="101">
        <v>100</v>
      </c>
      <c r="F25" s="27">
        <v>100</v>
      </c>
      <c r="G25" s="17">
        <f>E25*6.73/100</f>
        <v>6.73</v>
      </c>
      <c r="H25" s="30">
        <f>F25*6.73/100</f>
        <v>6.73</v>
      </c>
      <c r="I25" s="17">
        <f>E25*3.06/100</f>
        <v>3.06</v>
      </c>
      <c r="J25" s="30">
        <f>F25*3.06/100</f>
        <v>3.06</v>
      </c>
      <c r="K25" s="17">
        <f>E25*26.26/100</f>
        <v>26.26</v>
      </c>
      <c r="L25" s="30">
        <f>F25*26.26/100</f>
        <v>26.26</v>
      </c>
      <c r="M25" s="17">
        <f t="shared" ref="M25:N26" si="11">G25*4+I25*9+K25*4</f>
        <v>159.5</v>
      </c>
      <c r="N25" s="32">
        <f t="shared" si="11"/>
        <v>159.5</v>
      </c>
    </row>
    <row r="26" spans="2:14" x14ac:dyDescent="0.25">
      <c r="B26" s="195"/>
      <c r="C26" s="15" t="s">
        <v>45</v>
      </c>
      <c r="D26" s="9" t="s">
        <v>217</v>
      </c>
      <c r="E26" s="101">
        <v>200</v>
      </c>
      <c r="F26" s="28">
        <v>200</v>
      </c>
      <c r="G26" s="17">
        <f>E26*0.2/200</f>
        <v>0.2</v>
      </c>
      <c r="H26" s="30">
        <f>F26*0.2/200</f>
        <v>0.2</v>
      </c>
      <c r="I26" s="17">
        <f t="shared" ref="I26:J26" si="12">E26*0.1/200</f>
        <v>0.1</v>
      </c>
      <c r="J26" s="30">
        <f t="shared" si="12"/>
        <v>0.1</v>
      </c>
      <c r="K26" s="17">
        <f>E26*9.3/200</f>
        <v>9.3000000000000007</v>
      </c>
      <c r="L26" s="30">
        <f>F26*9.3/200</f>
        <v>9.3000000000000007</v>
      </c>
      <c r="M26" s="17">
        <f t="shared" si="11"/>
        <v>38.900000000000006</v>
      </c>
      <c r="N26" s="32">
        <f t="shared" si="11"/>
        <v>38.900000000000006</v>
      </c>
    </row>
    <row r="27" spans="2:14" x14ac:dyDescent="0.25">
      <c r="B27" s="195"/>
      <c r="C27" s="44"/>
      <c r="D27" s="51" t="s">
        <v>81</v>
      </c>
      <c r="E27" s="52">
        <f t="shared" ref="E27:N27" si="13">SUM(E25:E26)</f>
        <v>300</v>
      </c>
      <c r="F27" s="53">
        <f t="shared" si="13"/>
        <v>300</v>
      </c>
      <c r="G27" s="54">
        <f t="shared" si="13"/>
        <v>6.9300000000000006</v>
      </c>
      <c r="H27" s="55">
        <f t="shared" si="13"/>
        <v>6.9300000000000006</v>
      </c>
      <c r="I27" s="54">
        <f t="shared" si="13"/>
        <v>3.16</v>
      </c>
      <c r="J27" s="55">
        <f t="shared" si="13"/>
        <v>3.16</v>
      </c>
      <c r="K27" s="54">
        <f t="shared" si="13"/>
        <v>35.56</v>
      </c>
      <c r="L27" s="55">
        <f t="shared" si="13"/>
        <v>35.56</v>
      </c>
      <c r="M27" s="54">
        <f t="shared" si="13"/>
        <v>198.4</v>
      </c>
      <c r="N27" s="56">
        <f t="shared" si="13"/>
        <v>198.4</v>
      </c>
    </row>
    <row r="28" spans="2:14" ht="15.75" thickBot="1" x14ac:dyDescent="0.3">
      <c r="B28" s="196"/>
      <c r="C28" s="22"/>
      <c r="D28" s="13" t="s">
        <v>12</v>
      </c>
      <c r="E28" s="18"/>
      <c r="F28" s="45"/>
      <c r="G28" s="14">
        <f t="shared" ref="G28:N28" si="14">G27+G23+G15+G12</f>
        <v>34.8185</v>
      </c>
      <c r="H28" s="36">
        <f t="shared" si="14"/>
        <v>41.677000000000007</v>
      </c>
      <c r="I28" s="14">
        <f t="shared" si="14"/>
        <v>32.032499999999999</v>
      </c>
      <c r="J28" s="36">
        <f t="shared" si="14"/>
        <v>39.914999999999992</v>
      </c>
      <c r="K28" s="14">
        <f t="shared" si="14"/>
        <v>157.01000000000002</v>
      </c>
      <c r="L28" s="36">
        <f t="shared" si="14"/>
        <v>180.73599999999999</v>
      </c>
      <c r="M28" s="14">
        <f t="shared" si="14"/>
        <v>1055.6065000000001</v>
      </c>
      <c r="N28" s="38">
        <f t="shared" si="14"/>
        <v>1248.8869999999999</v>
      </c>
    </row>
    <row r="31" spans="2:14" x14ac:dyDescent="0.25">
      <c r="D31" s="12" t="s">
        <v>23</v>
      </c>
    </row>
  </sheetData>
  <mergeCells count="15">
    <mergeCell ref="M4:N5"/>
    <mergeCell ref="G5:H5"/>
    <mergeCell ref="I5:J5"/>
    <mergeCell ref="K5:L5"/>
    <mergeCell ref="B3:E3"/>
    <mergeCell ref="B4:B6"/>
    <mergeCell ref="C4:C6"/>
    <mergeCell ref="D4:D6"/>
    <mergeCell ref="E4:F5"/>
    <mergeCell ref="G4:L4"/>
    <mergeCell ref="B7:B28"/>
    <mergeCell ref="C7:N7"/>
    <mergeCell ref="C13:N13"/>
    <mergeCell ref="C16:N16"/>
    <mergeCell ref="C24:N2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3:Z29"/>
  <sheetViews>
    <sheetView zoomScale="90" zoomScaleNormal="90" zoomScalePageLayoutView="90" workbookViewId="0">
      <selection activeCell="C21" sqref="C21:N21"/>
    </sheetView>
  </sheetViews>
  <sheetFormatPr defaultColWidth="9.140625" defaultRowHeight="15" x14ac:dyDescent="0.25"/>
  <cols>
    <col min="1" max="1" width="5.7109375" style="12" customWidth="1"/>
    <col min="2" max="2" width="2.7109375" style="12" customWidth="1"/>
    <col min="3" max="3" width="10.5703125" style="12" customWidth="1"/>
    <col min="4" max="4" width="37.5703125" style="12" customWidth="1"/>
    <col min="5" max="6" width="7.28515625" style="12" customWidth="1"/>
    <col min="7" max="7" width="6.7109375" style="12" customWidth="1"/>
    <col min="8" max="8" width="6.85546875" style="12" customWidth="1"/>
    <col min="9" max="9" width="6.42578125" style="12" customWidth="1"/>
    <col min="10" max="10" width="6.5703125" style="12" customWidth="1"/>
    <col min="11" max="11" width="7.5703125" style="12" customWidth="1"/>
    <col min="12" max="12" width="7.42578125" style="12" customWidth="1"/>
    <col min="13" max="13" width="8.5703125" style="12" customWidth="1"/>
    <col min="14" max="14" width="7.5703125" style="12" customWidth="1"/>
    <col min="15" max="15" width="9" style="12" customWidth="1"/>
    <col min="16" max="16" width="7.28515625" style="12" customWidth="1"/>
    <col min="17" max="20" width="9.140625" style="12"/>
    <col min="21" max="21" width="19.7109375" style="12" customWidth="1"/>
    <col min="22" max="22" width="7.7109375" style="12" customWidth="1"/>
    <col min="23" max="23" width="9.140625" style="12"/>
    <col min="24" max="24" width="7.7109375" style="12" customWidth="1"/>
    <col min="25" max="16384" width="9.140625" style="12"/>
  </cols>
  <sheetData>
    <row r="3" spans="2:26" ht="21" customHeight="1" thickBot="1" x14ac:dyDescent="0.3">
      <c r="B3" s="172" t="s">
        <v>50</v>
      </c>
      <c r="C3" s="172"/>
      <c r="D3" s="172"/>
      <c r="E3" s="172"/>
      <c r="O3" s="2"/>
      <c r="P3" s="2"/>
      <c r="Q3" s="1"/>
      <c r="R3" s="1"/>
      <c r="S3" s="1"/>
      <c r="T3" s="1"/>
      <c r="U3" s="2"/>
      <c r="V3" s="2"/>
      <c r="W3" s="1"/>
      <c r="X3" s="1"/>
      <c r="Y3" s="1"/>
      <c r="Z3" s="1"/>
    </row>
    <row r="4" spans="2:26" ht="15" customHeight="1" x14ac:dyDescent="0.25">
      <c r="B4" s="197" t="s">
        <v>39</v>
      </c>
      <c r="C4" s="181" t="s">
        <v>0</v>
      </c>
      <c r="D4" s="184" t="s">
        <v>1</v>
      </c>
      <c r="E4" s="187" t="s">
        <v>6</v>
      </c>
      <c r="F4" s="188"/>
      <c r="G4" s="200" t="s">
        <v>7</v>
      </c>
      <c r="H4" s="200"/>
      <c r="I4" s="200"/>
      <c r="J4" s="200"/>
      <c r="K4" s="200"/>
      <c r="L4" s="200"/>
      <c r="M4" s="201" t="s">
        <v>5</v>
      </c>
      <c r="N4" s="202"/>
      <c r="O4" s="1"/>
      <c r="P4" s="3"/>
      <c r="Q4" s="5"/>
      <c r="R4" s="5"/>
      <c r="S4" s="5"/>
      <c r="T4" s="5"/>
      <c r="U4" s="1"/>
      <c r="V4" s="3"/>
      <c r="W4" s="5"/>
      <c r="X4" s="5"/>
      <c r="Y4" s="5"/>
      <c r="Z4" s="5"/>
    </row>
    <row r="5" spans="2:26" x14ac:dyDescent="0.25">
      <c r="B5" s="198"/>
      <c r="C5" s="182"/>
      <c r="D5" s="185"/>
      <c r="E5" s="189"/>
      <c r="F5" s="190"/>
      <c r="G5" s="205" t="s">
        <v>3</v>
      </c>
      <c r="H5" s="205"/>
      <c r="I5" s="203" t="s">
        <v>2</v>
      </c>
      <c r="J5" s="203"/>
      <c r="K5" s="205" t="s">
        <v>4</v>
      </c>
      <c r="L5" s="205"/>
      <c r="M5" s="203"/>
      <c r="N5" s="204"/>
      <c r="O5" s="1"/>
      <c r="P5" s="3"/>
      <c r="Q5" s="5"/>
      <c r="R5" s="5"/>
      <c r="S5" s="5"/>
      <c r="T5" s="5"/>
      <c r="U5" s="1"/>
      <c r="V5" s="3"/>
      <c r="W5" s="5"/>
      <c r="X5" s="5"/>
      <c r="Y5" s="5"/>
      <c r="Z5" s="5"/>
    </row>
    <row r="6" spans="2:26" ht="27.75" customHeight="1" thickBot="1" x14ac:dyDescent="0.3">
      <c r="B6" s="199"/>
      <c r="C6" s="183"/>
      <c r="D6" s="186"/>
      <c r="E6" s="58" t="s">
        <v>82</v>
      </c>
      <c r="F6" s="59" t="s">
        <v>83</v>
      </c>
      <c r="G6" s="58" t="s">
        <v>82</v>
      </c>
      <c r="H6" s="60" t="s">
        <v>83</v>
      </c>
      <c r="I6" s="58" t="s">
        <v>82</v>
      </c>
      <c r="J6" s="60" t="s">
        <v>83</v>
      </c>
      <c r="K6" s="58" t="s">
        <v>82</v>
      </c>
      <c r="L6" s="60" t="s">
        <v>83</v>
      </c>
      <c r="M6" s="58" t="s">
        <v>82</v>
      </c>
      <c r="N6" s="61" t="s">
        <v>83</v>
      </c>
      <c r="O6" s="1"/>
      <c r="P6" s="3"/>
      <c r="Q6" s="5"/>
      <c r="R6" s="5"/>
      <c r="S6" s="5"/>
      <c r="T6" s="5"/>
      <c r="U6" s="1"/>
      <c r="V6" s="3"/>
      <c r="W6" s="5"/>
      <c r="X6" s="5"/>
      <c r="Y6" s="5"/>
      <c r="Z6" s="5"/>
    </row>
    <row r="7" spans="2:26" ht="15" customHeight="1" x14ac:dyDescent="0.25">
      <c r="B7" s="194" t="s">
        <v>37</v>
      </c>
      <c r="C7" s="175" t="s">
        <v>8</v>
      </c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7"/>
      <c r="O7" s="1"/>
      <c r="P7" s="3"/>
      <c r="Q7" s="5"/>
      <c r="R7" s="5"/>
      <c r="S7" s="5"/>
      <c r="T7" s="5"/>
      <c r="U7" s="1"/>
      <c r="V7" s="3"/>
      <c r="W7" s="5"/>
      <c r="X7" s="5"/>
      <c r="Y7" s="5"/>
      <c r="Z7" s="5"/>
    </row>
    <row r="8" spans="2:26" x14ac:dyDescent="0.25">
      <c r="B8" s="195"/>
      <c r="C8" s="15" t="s">
        <v>96</v>
      </c>
      <c r="D8" s="8" t="s">
        <v>236</v>
      </c>
      <c r="E8" s="102">
        <v>100</v>
      </c>
      <c r="F8" s="27">
        <v>200</v>
      </c>
      <c r="G8" s="17">
        <f>E8*3.63/100</f>
        <v>3.63</v>
      </c>
      <c r="H8" s="30">
        <f>F8*3.63/100</f>
        <v>7.26</v>
      </c>
      <c r="I8" s="17">
        <f>E8*3.23/100</f>
        <v>3.23</v>
      </c>
      <c r="J8" s="30">
        <f>F8*3.23/100</f>
        <v>6.46</v>
      </c>
      <c r="K8" s="17">
        <f>E8*17.68/100</f>
        <v>17.68</v>
      </c>
      <c r="L8" s="30">
        <f>F8*17.68/100</f>
        <v>35.36</v>
      </c>
      <c r="M8" s="17">
        <f t="shared" ref="M8:N8" si="0">G8*4+I8*9+K8*4</f>
        <v>114.31</v>
      </c>
      <c r="N8" s="32">
        <f t="shared" si="0"/>
        <v>228.62</v>
      </c>
      <c r="O8" s="1"/>
      <c r="P8" s="3"/>
      <c r="Q8" s="5"/>
      <c r="R8" s="5"/>
      <c r="S8" s="5"/>
      <c r="T8" s="5"/>
      <c r="U8" s="1"/>
      <c r="V8" s="3"/>
      <c r="W8" s="5"/>
      <c r="X8" s="5"/>
      <c r="Y8" s="5"/>
      <c r="Z8" s="5"/>
    </row>
    <row r="9" spans="2:26" x14ac:dyDescent="0.25">
      <c r="B9" s="195"/>
      <c r="C9" s="16" t="s">
        <v>168</v>
      </c>
      <c r="D9" s="93" t="s">
        <v>169</v>
      </c>
      <c r="E9" s="65">
        <v>25</v>
      </c>
      <c r="F9" s="62">
        <v>30</v>
      </c>
      <c r="G9" s="94">
        <f>E9*7.5/100</f>
        <v>1.875</v>
      </c>
      <c r="H9" s="40">
        <f>F9*7.5/100</f>
        <v>2.25</v>
      </c>
      <c r="I9" s="95">
        <f>E9*2.9/100</f>
        <v>0.72499999999999998</v>
      </c>
      <c r="J9" s="30">
        <f>F9*2.9/100</f>
        <v>0.87</v>
      </c>
      <c r="K9" s="95">
        <f>E9*51.4/100</f>
        <v>12.85</v>
      </c>
      <c r="L9" s="30">
        <f>F9*51.4/100</f>
        <v>15.42</v>
      </c>
      <c r="M9" s="95">
        <f t="shared" ref="M9:N10" si="1">G9*4+I9*9+K9*4</f>
        <v>65.424999999999997</v>
      </c>
      <c r="N9" s="32">
        <f t="shared" si="1"/>
        <v>78.509999999999991</v>
      </c>
      <c r="O9" s="1"/>
      <c r="P9" s="3"/>
      <c r="Q9" s="5"/>
      <c r="R9" s="5"/>
      <c r="S9" s="5"/>
      <c r="T9" s="5"/>
      <c r="U9" s="1"/>
      <c r="V9" s="3"/>
      <c r="W9" s="5"/>
      <c r="X9" s="5"/>
      <c r="Y9" s="5"/>
      <c r="Z9" s="5"/>
    </row>
    <row r="10" spans="2:26" x14ac:dyDescent="0.25">
      <c r="B10" s="195"/>
      <c r="C10" s="16" t="s">
        <v>36</v>
      </c>
      <c r="D10" s="103" t="s">
        <v>86</v>
      </c>
      <c r="E10" s="102">
        <v>10</v>
      </c>
      <c r="F10" s="50">
        <v>10</v>
      </c>
      <c r="G10" s="20">
        <f>E10*0/10</f>
        <v>0</v>
      </c>
      <c r="H10" s="63">
        <f>F10*0/10</f>
        <v>0</v>
      </c>
      <c r="I10" s="20">
        <f>E10*0/10</f>
        <v>0</v>
      </c>
      <c r="J10" s="63">
        <f>F10*0/10</f>
        <v>0</v>
      </c>
      <c r="K10" s="17">
        <f>E10*61/100</f>
        <v>6.1</v>
      </c>
      <c r="L10" s="30">
        <f>F10*61/100</f>
        <v>6.1</v>
      </c>
      <c r="M10" s="17">
        <f t="shared" si="1"/>
        <v>24.4</v>
      </c>
      <c r="N10" s="32">
        <f t="shared" si="1"/>
        <v>24.4</v>
      </c>
      <c r="O10" s="1"/>
      <c r="P10" s="3"/>
      <c r="Q10" s="5"/>
      <c r="R10" s="5"/>
      <c r="S10" s="5"/>
      <c r="T10" s="5"/>
      <c r="U10" s="1"/>
      <c r="V10" s="3"/>
      <c r="W10" s="5"/>
      <c r="X10" s="5"/>
      <c r="Y10" s="5"/>
      <c r="Z10" s="5"/>
    </row>
    <row r="11" spans="2:26" x14ac:dyDescent="0.25">
      <c r="B11" s="195"/>
      <c r="C11" s="15" t="s">
        <v>45</v>
      </c>
      <c r="D11" s="9" t="s">
        <v>16</v>
      </c>
      <c r="E11" s="89">
        <v>180</v>
      </c>
      <c r="F11" s="28">
        <v>200</v>
      </c>
      <c r="G11" s="17">
        <f>E11*0.2/200</f>
        <v>0.18</v>
      </c>
      <c r="H11" s="30">
        <f>F11*0.2/200</f>
        <v>0.2</v>
      </c>
      <c r="I11" s="17">
        <f t="shared" ref="I11:J11" si="2">E11*0.1/200</f>
        <v>0.09</v>
      </c>
      <c r="J11" s="30">
        <f t="shared" si="2"/>
        <v>0.1</v>
      </c>
      <c r="K11" s="17">
        <f>E11*9.3/200</f>
        <v>8.370000000000001</v>
      </c>
      <c r="L11" s="30">
        <f>F11*9.3/200</f>
        <v>9.3000000000000007</v>
      </c>
      <c r="M11" s="17">
        <f t="shared" ref="M11:N12" si="3">G11*4+I11*9+K11*4</f>
        <v>35.010000000000005</v>
      </c>
      <c r="N11" s="32">
        <f t="shared" si="3"/>
        <v>38.900000000000006</v>
      </c>
      <c r="O11" s="1"/>
      <c r="P11" s="3"/>
      <c r="Q11" s="5"/>
      <c r="R11" s="5"/>
      <c r="S11" s="5"/>
      <c r="T11" s="5"/>
      <c r="U11" s="1"/>
      <c r="V11" s="3"/>
      <c r="W11" s="5"/>
      <c r="X11" s="5"/>
      <c r="Y11" s="5"/>
      <c r="Z11" s="5"/>
    </row>
    <row r="12" spans="2:26" x14ac:dyDescent="0.25">
      <c r="B12" s="195"/>
      <c r="C12" s="23"/>
      <c r="D12" s="4" t="s">
        <v>13</v>
      </c>
      <c r="E12" s="21">
        <f t="shared" ref="E12:K12" si="4">SUM(E8:E11)</f>
        <v>315</v>
      </c>
      <c r="F12" s="29">
        <f t="shared" si="4"/>
        <v>440</v>
      </c>
      <c r="G12" s="7">
        <f>SUM(G8:G11)</f>
        <v>5.6849999999999996</v>
      </c>
      <c r="H12" s="31">
        <f t="shared" si="4"/>
        <v>9.7099999999999991</v>
      </c>
      <c r="I12" s="7">
        <f t="shared" si="4"/>
        <v>4.0449999999999999</v>
      </c>
      <c r="J12" s="31">
        <f t="shared" si="4"/>
        <v>7.43</v>
      </c>
      <c r="K12" s="7">
        <f t="shared" si="4"/>
        <v>45</v>
      </c>
      <c r="L12" s="31">
        <f>SUM(L8:L11)</f>
        <v>66.180000000000007</v>
      </c>
      <c r="M12" s="7">
        <f>G12*4+I12*9+K12*4</f>
        <v>239.14499999999998</v>
      </c>
      <c r="N12" s="33">
        <f t="shared" si="3"/>
        <v>370.43000000000006</v>
      </c>
      <c r="O12" s="1"/>
      <c r="P12" s="3"/>
      <c r="Q12" s="5"/>
      <c r="R12" s="5"/>
      <c r="S12" s="5"/>
      <c r="T12" s="5"/>
      <c r="U12" s="1"/>
      <c r="V12" s="3"/>
      <c r="W12" s="5"/>
      <c r="X12" s="5"/>
      <c r="Y12" s="5"/>
      <c r="Z12" s="5"/>
    </row>
    <row r="13" spans="2:26" x14ac:dyDescent="0.25">
      <c r="B13" s="195"/>
      <c r="C13" s="178" t="s">
        <v>79</v>
      </c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80"/>
      <c r="O13" s="1"/>
      <c r="P13" s="3"/>
      <c r="Q13" s="5"/>
      <c r="R13" s="5"/>
      <c r="S13" s="5"/>
      <c r="T13" s="5"/>
      <c r="U13" s="1"/>
      <c r="V13" s="3"/>
      <c r="W13" s="5"/>
      <c r="X13" s="5"/>
      <c r="Y13" s="5"/>
      <c r="Z13" s="5"/>
    </row>
    <row r="14" spans="2:26" x14ac:dyDescent="0.25">
      <c r="B14" s="195"/>
      <c r="C14" s="16" t="s">
        <v>143</v>
      </c>
      <c r="D14" s="6" t="s">
        <v>144</v>
      </c>
      <c r="E14" s="90">
        <v>100</v>
      </c>
      <c r="F14" s="28">
        <v>100</v>
      </c>
      <c r="G14" s="17">
        <f>E14*0.5/100</f>
        <v>0.5</v>
      </c>
      <c r="H14" s="30">
        <f>F14*0.5/100</f>
        <v>0.5</v>
      </c>
      <c r="I14" s="17">
        <f>E14*0.1/100</f>
        <v>0.1</v>
      </c>
      <c r="J14" s="30">
        <f>F14*0.1/100</f>
        <v>0.1</v>
      </c>
      <c r="K14" s="17">
        <f>E14*10.1/100</f>
        <v>10.1</v>
      </c>
      <c r="L14" s="30">
        <f>F14*10.1/100</f>
        <v>10.1</v>
      </c>
      <c r="M14" s="17">
        <f t="shared" ref="M14:N14" si="5">G14*4+I14*9+K14*4</f>
        <v>43.3</v>
      </c>
      <c r="N14" s="32">
        <f t="shared" si="5"/>
        <v>43.3</v>
      </c>
      <c r="O14" s="1"/>
      <c r="P14" s="3"/>
      <c r="Q14" s="5"/>
      <c r="R14" s="5"/>
      <c r="S14" s="5"/>
      <c r="T14" s="5"/>
      <c r="U14" s="1"/>
      <c r="V14" s="3"/>
      <c r="W14" s="5"/>
      <c r="X14" s="5"/>
      <c r="Y14" s="5"/>
      <c r="Z14" s="5"/>
    </row>
    <row r="15" spans="2:26" x14ac:dyDescent="0.25">
      <c r="B15" s="195"/>
      <c r="C15" s="15"/>
      <c r="D15" s="4" t="s">
        <v>80</v>
      </c>
      <c r="E15" s="21">
        <f t="shared" ref="E15:N15" si="6">SUM(E14:E14)</f>
        <v>100</v>
      </c>
      <c r="F15" s="91">
        <f t="shared" si="6"/>
        <v>100</v>
      </c>
      <c r="G15" s="7">
        <f t="shared" si="6"/>
        <v>0.5</v>
      </c>
      <c r="H15" s="31">
        <f t="shared" si="6"/>
        <v>0.5</v>
      </c>
      <c r="I15" s="7">
        <f t="shared" si="6"/>
        <v>0.1</v>
      </c>
      <c r="J15" s="31">
        <f t="shared" si="6"/>
        <v>0.1</v>
      </c>
      <c r="K15" s="7">
        <f t="shared" si="6"/>
        <v>10.1</v>
      </c>
      <c r="L15" s="31">
        <f t="shared" si="6"/>
        <v>10.1</v>
      </c>
      <c r="M15" s="7">
        <f t="shared" si="6"/>
        <v>43.3</v>
      </c>
      <c r="N15" s="33">
        <f t="shared" si="6"/>
        <v>43.3</v>
      </c>
      <c r="O15" s="1"/>
      <c r="P15" s="3"/>
      <c r="Q15" s="5"/>
      <c r="R15" s="5"/>
      <c r="S15" s="5"/>
      <c r="T15" s="5"/>
      <c r="U15" s="1"/>
      <c r="V15" s="3"/>
      <c r="W15" s="5"/>
      <c r="X15" s="5"/>
      <c r="Y15" s="5"/>
      <c r="Z15" s="5"/>
    </row>
    <row r="16" spans="2:26" x14ac:dyDescent="0.25">
      <c r="B16" s="195"/>
      <c r="C16" s="178" t="s">
        <v>9</v>
      </c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80"/>
      <c r="O16" s="1"/>
      <c r="P16" s="3"/>
      <c r="Q16" s="5" t="s">
        <v>23</v>
      </c>
      <c r="R16" s="5"/>
      <c r="S16" s="5"/>
      <c r="T16" s="5"/>
      <c r="U16" s="1"/>
      <c r="V16" s="3"/>
      <c r="W16" s="5"/>
      <c r="X16" s="5"/>
      <c r="Y16" s="5"/>
      <c r="Z16" s="5"/>
    </row>
    <row r="17" spans="2:26" x14ac:dyDescent="0.25">
      <c r="B17" s="195"/>
      <c r="C17" s="15" t="s">
        <v>237</v>
      </c>
      <c r="D17" s="106" t="s">
        <v>238</v>
      </c>
      <c r="E17" s="100">
        <v>30</v>
      </c>
      <c r="F17" s="39">
        <v>50</v>
      </c>
      <c r="G17" s="19">
        <f>E17*1.3/100</f>
        <v>0.39</v>
      </c>
      <c r="H17" s="40">
        <f>F17*1.3/100</f>
        <v>0.65</v>
      </c>
      <c r="I17" s="19">
        <f>E17*9.9/100</f>
        <v>2.97</v>
      </c>
      <c r="J17" s="40">
        <f>F17*9.9/100</f>
        <v>4.95</v>
      </c>
      <c r="K17" s="19">
        <f>E17*8.4/100</f>
        <v>2.52</v>
      </c>
      <c r="L17" s="40">
        <f>F17*8.4/100</f>
        <v>4.2</v>
      </c>
      <c r="M17" s="19">
        <f t="shared" ref="M17:N17" si="7">G17*4+I17*9+K17*4</f>
        <v>38.369999999999997</v>
      </c>
      <c r="N17" s="37">
        <f t="shared" si="7"/>
        <v>63.95</v>
      </c>
      <c r="O17" s="1"/>
      <c r="P17" s="3"/>
      <c r="Q17" s="5"/>
      <c r="R17" s="5"/>
      <c r="S17" s="5"/>
      <c r="T17" s="5"/>
      <c r="U17" s="1"/>
      <c r="V17" s="3"/>
      <c r="W17" s="5"/>
      <c r="X17" s="5"/>
      <c r="Y17" s="5"/>
      <c r="Z17" s="5"/>
    </row>
    <row r="18" spans="2:26" x14ac:dyDescent="0.25">
      <c r="B18" s="195"/>
      <c r="C18" s="16" t="s">
        <v>149</v>
      </c>
      <c r="D18" s="6" t="s">
        <v>150</v>
      </c>
      <c r="E18" s="102">
        <v>150</v>
      </c>
      <c r="F18" s="28">
        <v>180</v>
      </c>
      <c r="G18" s="17">
        <f>E18*2.3/100</f>
        <v>3.45</v>
      </c>
      <c r="H18" s="30">
        <f>F18*2.3/100</f>
        <v>4.1399999999999997</v>
      </c>
      <c r="I18" s="17">
        <f>E18*1.6/100</f>
        <v>2.4</v>
      </c>
      <c r="J18" s="30">
        <f>F18*1.6/100</f>
        <v>2.88</v>
      </c>
      <c r="K18" s="17">
        <f>E18*4.9/100</f>
        <v>7.35</v>
      </c>
      <c r="L18" s="30">
        <f>F18*4.9/100</f>
        <v>8.82</v>
      </c>
      <c r="M18" s="19">
        <f t="shared" ref="M18:N20" si="8">G18*4+I18*9+K18*4</f>
        <v>64.8</v>
      </c>
      <c r="N18" s="37">
        <f t="shared" ref="N18:N19" si="9">H18*4+J18*9+L18*4</f>
        <v>77.759999999999991</v>
      </c>
      <c r="O18" s="1"/>
      <c r="P18" s="3"/>
      <c r="Q18" s="5"/>
      <c r="R18" s="5"/>
      <c r="S18" s="5"/>
      <c r="T18" s="5"/>
      <c r="U18" s="1"/>
      <c r="V18" s="3"/>
      <c r="W18" s="5"/>
      <c r="X18" s="5"/>
      <c r="Y18" s="5"/>
      <c r="Z18" s="5"/>
    </row>
    <row r="19" spans="2:26" x14ac:dyDescent="0.25">
      <c r="B19" s="195"/>
      <c r="C19" s="15" t="s">
        <v>54</v>
      </c>
      <c r="D19" s="8" t="s">
        <v>239</v>
      </c>
      <c r="E19" s="102">
        <v>120</v>
      </c>
      <c r="F19" s="28">
        <v>150</v>
      </c>
      <c r="G19" s="17">
        <f>E19*1.93/100</f>
        <v>2.3159999999999998</v>
      </c>
      <c r="H19" s="30">
        <f>F19*1.93/100</f>
        <v>2.895</v>
      </c>
      <c r="I19" s="17">
        <f>E19*1.82/100</f>
        <v>2.1840000000000002</v>
      </c>
      <c r="J19" s="30">
        <f>F19*1.82/100</f>
        <v>2.73</v>
      </c>
      <c r="K19" s="17">
        <f>E19*13.43/100</f>
        <v>16.116</v>
      </c>
      <c r="L19" s="30">
        <f>F19*13.43/100</f>
        <v>20.145</v>
      </c>
      <c r="M19" s="17">
        <f t="shared" si="8"/>
        <v>93.384</v>
      </c>
      <c r="N19" s="32">
        <f t="shared" si="9"/>
        <v>116.72999999999999</v>
      </c>
      <c r="O19" s="1"/>
      <c r="P19" s="3"/>
      <c r="Q19" s="5"/>
      <c r="R19" s="5"/>
      <c r="S19" s="5"/>
      <c r="T19" s="5"/>
      <c r="U19" s="1"/>
      <c r="V19" s="3"/>
      <c r="W19" s="5"/>
      <c r="X19" s="5"/>
      <c r="Y19" s="5"/>
      <c r="Z19" s="5"/>
    </row>
    <row r="20" spans="2:26" x14ac:dyDescent="0.25">
      <c r="B20" s="195"/>
      <c r="C20" s="15" t="s">
        <v>51</v>
      </c>
      <c r="D20" s="9" t="s">
        <v>52</v>
      </c>
      <c r="E20" s="102">
        <v>90</v>
      </c>
      <c r="F20" s="28">
        <v>100</v>
      </c>
      <c r="G20" s="17">
        <f>E20*12/100</f>
        <v>10.8</v>
      </c>
      <c r="H20" s="30">
        <f>F20*12/100</f>
        <v>12</v>
      </c>
      <c r="I20" s="17">
        <f>E20*24/100</f>
        <v>21.6</v>
      </c>
      <c r="J20" s="30">
        <f>F20*24/100</f>
        <v>24</v>
      </c>
      <c r="K20" s="17">
        <f>E20*5/100</f>
        <v>4.5</v>
      </c>
      <c r="L20" s="30">
        <f>F20*5/100</f>
        <v>5</v>
      </c>
      <c r="M20" s="17">
        <f t="shared" si="8"/>
        <v>255.60000000000002</v>
      </c>
      <c r="N20" s="32">
        <f t="shared" si="8"/>
        <v>284</v>
      </c>
      <c r="O20" s="1"/>
      <c r="P20" s="3"/>
      <c r="Q20" s="5"/>
      <c r="R20" s="5"/>
      <c r="S20" s="5"/>
      <c r="T20" s="5"/>
      <c r="U20" s="1"/>
      <c r="V20" s="3"/>
      <c r="W20" s="5"/>
      <c r="X20" s="5"/>
      <c r="Y20" s="5"/>
      <c r="Z20" s="5"/>
    </row>
    <row r="21" spans="2:26" x14ac:dyDescent="0.25">
      <c r="B21" s="195"/>
      <c r="C21" s="15" t="s">
        <v>48</v>
      </c>
      <c r="D21" s="9" t="s">
        <v>49</v>
      </c>
      <c r="E21" s="89">
        <v>150</v>
      </c>
      <c r="F21" s="28">
        <v>180</v>
      </c>
      <c r="G21" s="17">
        <f>E21*0.6/200</f>
        <v>0.45</v>
      </c>
      <c r="H21" s="30">
        <f>F21*0.6/200</f>
        <v>0.54</v>
      </c>
      <c r="I21" s="17">
        <f t="shared" ref="I21:J21" si="10">E21*0.1/200</f>
        <v>7.4999999999999997E-2</v>
      </c>
      <c r="J21" s="30">
        <f t="shared" si="10"/>
        <v>0.09</v>
      </c>
      <c r="K21" s="17">
        <f>E21*20.1/200</f>
        <v>15.074999999999999</v>
      </c>
      <c r="L21" s="30">
        <f>F21*20.1/200</f>
        <v>18.090000000000003</v>
      </c>
      <c r="M21" s="17">
        <f t="shared" ref="M21:N21" si="11">G21*4+I21*9+K21*4</f>
        <v>62.774999999999999</v>
      </c>
      <c r="N21" s="32">
        <f t="shared" si="11"/>
        <v>75.330000000000013</v>
      </c>
      <c r="O21" s="1"/>
      <c r="P21" s="3"/>
      <c r="Q21" s="5"/>
      <c r="R21" s="5"/>
      <c r="S21" s="5"/>
      <c r="T21" s="5"/>
      <c r="U21" s="1"/>
      <c r="V21" s="3"/>
      <c r="W21" s="5"/>
      <c r="X21" s="5"/>
      <c r="Y21" s="5"/>
      <c r="Z21" s="5"/>
    </row>
    <row r="22" spans="2:26" x14ac:dyDescent="0.25">
      <c r="B22" s="195"/>
      <c r="C22" s="16" t="s">
        <v>139</v>
      </c>
      <c r="D22" s="6" t="s">
        <v>22</v>
      </c>
      <c r="E22" s="65">
        <v>30</v>
      </c>
      <c r="F22" s="62">
        <v>30</v>
      </c>
      <c r="G22" s="17">
        <f>E22*8/100</f>
        <v>2.4</v>
      </c>
      <c r="H22" s="30">
        <f>F22*8/100</f>
        <v>2.4</v>
      </c>
      <c r="I22" s="17">
        <f>E22*1.5/100</f>
        <v>0.45</v>
      </c>
      <c r="J22" s="30">
        <f>F22*1.5/100</f>
        <v>0.45</v>
      </c>
      <c r="K22" s="17">
        <f>E22*40.1/100</f>
        <v>12.03</v>
      </c>
      <c r="L22" s="30">
        <f>F22*40.1/100</f>
        <v>12.03</v>
      </c>
      <c r="M22" s="17">
        <f t="shared" ref="M22:N23" si="12">G22*4+I22*9+K22*4</f>
        <v>61.769999999999996</v>
      </c>
      <c r="N22" s="32">
        <f t="shared" si="12"/>
        <v>61.769999999999996</v>
      </c>
      <c r="O22" s="1"/>
      <c r="P22" s="3"/>
      <c r="Q22" s="5"/>
      <c r="R22" s="5"/>
      <c r="S22" s="5"/>
      <c r="T22" s="5"/>
      <c r="U22" s="1"/>
      <c r="V22" s="3"/>
      <c r="W22" s="5"/>
      <c r="X22" s="5"/>
      <c r="Y22" s="5"/>
      <c r="Z22" s="5"/>
    </row>
    <row r="23" spans="2:26" x14ac:dyDescent="0.25">
      <c r="B23" s="195"/>
      <c r="C23" s="16" t="s">
        <v>137</v>
      </c>
      <c r="D23" s="6" t="s">
        <v>138</v>
      </c>
      <c r="E23" s="65">
        <v>30</v>
      </c>
      <c r="F23" s="62">
        <v>30</v>
      </c>
      <c r="G23" s="17">
        <f>E23*7.6/100</f>
        <v>2.2799999999999998</v>
      </c>
      <c r="H23" s="30">
        <f>F23*7.6/100</f>
        <v>2.2799999999999998</v>
      </c>
      <c r="I23" s="17">
        <f>E23*0.8/100</f>
        <v>0.24</v>
      </c>
      <c r="J23" s="30">
        <f>F23*0.8/100</f>
        <v>0.24</v>
      </c>
      <c r="K23" s="17">
        <f>E23*49.2/100</f>
        <v>14.76</v>
      </c>
      <c r="L23" s="30">
        <f>F23*49.2/100</f>
        <v>14.76</v>
      </c>
      <c r="M23" s="17">
        <f t="shared" si="12"/>
        <v>70.319999999999993</v>
      </c>
      <c r="N23" s="32">
        <f t="shared" si="12"/>
        <v>70.319999999999993</v>
      </c>
      <c r="O23" s="1"/>
      <c r="P23" s="3"/>
      <c r="Q23" s="5" t="s">
        <v>23</v>
      </c>
      <c r="R23" s="5"/>
      <c r="S23" s="5"/>
      <c r="T23" s="5"/>
      <c r="U23" s="1"/>
      <c r="V23" s="3"/>
      <c r="W23" s="5"/>
      <c r="X23" s="5"/>
      <c r="Y23" s="5"/>
      <c r="Z23" s="5"/>
    </row>
    <row r="24" spans="2:26" x14ac:dyDescent="0.25">
      <c r="B24" s="195"/>
      <c r="C24" s="16"/>
      <c r="D24" s="4" t="s">
        <v>14</v>
      </c>
      <c r="E24" s="21">
        <f t="shared" ref="E24:N24" si="13">SUM(E17:E23)</f>
        <v>600</v>
      </c>
      <c r="F24" s="35">
        <f t="shared" si="13"/>
        <v>720</v>
      </c>
      <c r="G24" s="7">
        <f t="shared" si="13"/>
        <v>22.086000000000002</v>
      </c>
      <c r="H24" s="31">
        <f t="shared" si="13"/>
        <v>24.905000000000001</v>
      </c>
      <c r="I24" s="7">
        <f t="shared" si="13"/>
        <v>29.919</v>
      </c>
      <c r="J24" s="31">
        <f t="shared" si="13"/>
        <v>35.340000000000011</v>
      </c>
      <c r="K24" s="7">
        <f t="shared" si="13"/>
        <v>72.350999999999999</v>
      </c>
      <c r="L24" s="31">
        <f t="shared" si="13"/>
        <v>83.045000000000002</v>
      </c>
      <c r="M24" s="7">
        <f t="shared" si="13"/>
        <v>647.01900000000001</v>
      </c>
      <c r="N24" s="33">
        <f t="shared" si="13"/>
        <v>749.8599999999999</v>
      </c>
      <c r="O24" s="1"/>
      <c r="P24" s="3"/>
      <c r="Q24" s="5"/>
      <c r="R24" s="5"/>
      <c r="S24" s="5"/>
      <c r="T24" s="5"/>
      <c r="U24" s="1"/>
      <c r="V24" s="3"/>
      <c r="W24" s="5"/>
      <c r="X24" s="5"/>
      <c r="Y24" s="5"/>
      <c r="Z24" s="5"/>
    </row>
    <row r="25" spans="2:26" x14ac:dyDescent="0.25">
      <c r="B25" s="195"/>
      <c r="C25" s="191" t="s">
        <v>84</v>
      </c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3"/>
      <c r="O25" s="1"/>
      <c r="P25" s="3"/>
      <c r="Q25" s="5"/>
      <c r="R25" s="5"/>
      <c r="S25" s="5"/>
      <c r="T25" s="5"/>
      <c r="U25" s="1"/>
      <c r="V25" s="3"/>
      <c r="W25" s="5"/>
      <c r="X25" s="5"/>
      <c r="Y25" s="5"/>
      <c r="Z25" s="5"/>
    </row>
    <row r="26" spans="2:26" x14ac:dyDescent="0.25">
      <c r="B26" s="195"/>
      <c r="C26" s="15" t="s">
        <v>151</v>
      </c>
      <c r="D26" s="8" t="s">
        <v>152</v>
      </c>
      <c r="E26" s="89">
        <v>50</v>
      </c>
      <c r="F26" s="28">
        <v>70</v>
      </c>
      <c r="G26" s="17">
        <f>E26*8/100</f>
        <v>4</v>
      </c>
      <c r="H26" s="30">
        <f>F26*8/100</f>
        <v>5.6</v>
      </c>
      <c r="I26" s="17">
        <f>E26*2.8/100</f>
        <v>1.4</v>
      </c>
      <c r="J26" s="30">
        <f>F26*2.8/100</f>
        <v>1.96</v>
      </c>
      <c r="K26" s="17">
        <f>E26*47.8/100</f>
        <v>23.9</v>
      </c>
      <c r="L26" s="30">
        <f>F26*47.8/100</f>
        <v>33.46</v>
      </c>
      <c r="M26" s="17">
        <f t="shared" ref="M26:N27" si="14">G26*4+I26*9+K26*4</f>
        <v>124.19999999999999</v>
      </c>
      <c r="N26" s="32">
        <f t="shared" si="14"/>
        <v>173.88</v>
      </c>
      <c r="O26" s="1"/>
      <c r="P26" s="3"/>
      <c r="Q26" s="5"/>
      <c r="R26" s="5"/>
      <c r="S26" s="5"/>
      <c r="T26" s="5"/>
      <c r="U26" s="1"/>
      <c r="V26" s="3"/>
      <c r="W26" s="5"/>
      <c r="X26" s="5"/>
      <c r="Y26" s="5"/>
      <c r="Z26" s="5"/>
    </row>
    <row r="27" spans="2:26" x14ac:dyDescent="0.25">
      <c r="B27" s="195"/>
      <c r="C27" s="15" t="s">
        <v>87</v>
      </c>
      <c r="D27" s="9" t="s">
        <v>88</v>
      </c>
      <c r="E27" s="102">
        <v>150</v>
      </c>
      <c r="F27" s="28">
        <v>180</v>
      </c>
      <c r="G27" s="17">
        <f>E27*1.4/200</f>
        <v>1.05</v>
      </c>
      <c r="H27" s="30">
        <f>F27*1.4/200</f>
        <v>1.2599999999999998</v>
      </c>
      <c r="I27" s="17">
        <f>E27*1.2/200</f>
        <v>0.9</v>
      </c>
      <c r="J27" s="30">
        <f>F27*1.2/200</f>
        <v>1.08</v>
      </c>
      <c r="K27" s="17">
        <f>E27*11.4/200</f>
        <v>8.5500000000000007</v>
      </c>
      <c r="L27" s="30">
        <f>F27*11.4/200</f>
        <v>10.26</v>
      </c>
      <c r="M27" s="17">
        <f t="shared" si="14"/>
        <v>46.5</v>
      </c>
      <c r="N27" s="32">
        <f t="shared" si="14"/>
        <v>55.8</v>
      </c>
      <c r="O27" s="1"/>
      <c r="P27" s="3"/>
      <c r="Q27" s="5"/>
      <c r="R27" s="5"/>
      <c r="S27" s="5"/>
      <c r="T27" s="5"/>
      <c r="U27" s="1"/>
      <c r="V27" s="3"/>
      <c r="W27" s="5"/>
      <c r="X27" s="5"/>
      <c r="Y27" s="5"/>
      <c r="Z27" s="5"/>
    </row>
    <row r="28" spans="2:26" x14ac:dyDescent="0.25">
      <c r="B28" s="195"/>
      <c r="C28" s="44"/>
      <c r="D28" s="51" t="s">
        <v>81</v>
      </c>
      <c r="E28" s="52">
        <f t="shared" ref="E28:N28" si="15">SUM(E26:E27)</f>
        <v>200</v>
      </c>
      <c r="F28" s="53">
        <f t="shared" si="15"/>
        <v>250</v>
      </c>
      <c r="G28" s="54">
        <f t="shared" si="15"/>
        <v>5.05</v>
      </c>
      <c r="H28" s="55">
        <f t="shared" si="15"/>
        <v>6.8599999999999994</v>
      </c>
      <c r="I28" s="54">
        <f t="shared" si="15"/>
        <v>2.2999999999999998</v>
      </c>
      <c r="J28" s="55">
        <f t="shared" si="15"/>
        <v>3.04</v>
      </c>
      <c r="K28" s="54">
        <f t="shared" si="15"/>
        <v>32.450000000000003</v>
      </c>
      <c r="L28" s="55">
        <f>SUM(L26:L27)</f>
        <v>43.72</v>
      </c>
      <c r="M28" s="54">
        <f t="shared" si="15"/>
        <v>170.7</v>
      </c>
      <c r="N28" s="56">
        <f t="shared" si="15"/>
        <v>229.68</v>
      </c>
      <c r="O28" s="1"/>
      <c r="P28" s="3"/>
      <c r="Q28" s="5"/>
      <c r="R28" s="5"/>
      <c r="S28" s="5"/>
      <c r="T28" s="5"/>
      <c r="U28" s="1"/>
      <c r="V28" s="3"/>
      <c r="W28" s="5"/>
      <c r="X28" s="5"/>
      <c r="Y28" s="5"/>
      <c r="Z28" s="5"/>
    </row>
    <row r="29" spans="2:26" ht="15.75" thickBot="1" x14ac:dyDescent="0.3">
      <c r="B29" s="196"/>
      <c r="C29" s="22"/>
      <c r="D29" s="13" t="s">
        <v>12</v>
      </c>
      <c r="E29" s="18"/>
      <c r="F29" s="45"/>
      <c r="G29" s="14">
        <f t="shared" ref="G29:N29" si="16">G28+G24+G15+G12</f>
        <v>33.321000000000005</v>
      </c>
      <c r="H29" s="36">
        <f t="shared" si="16"/>
        <v>41.975000000000001</v>
      </c>
      <c r="I29" s="14">
        <f t="shared" si="16"/>
        <v>36.364000000000004</v>
      </c>
      <c r="J29" s="36">
        <f t="shared" si="16"/>
        <v>45.910000000000011</v>
      </c>
      <c r="K29" s="14">
        <f t="shared" si="16"/>
        <v>159.90100000000001</v>
      </c>
      <c r="L29" s="36">
        <f t="shared" si="16"/>
        <v>203.04500000000002</v>
      </c>
      <c r="M29" s="14">
        <f t="shared" si="16"/>
        <v>1100.164</v>
      </c>
      <c r="N29" s="38">
        <f t="shared" si="16"/>
        <v>1393.27</v>
      </c>
      <c r="O29" s="1"/>
      <c r="P29" s="3"/>
      <c r="Q29" s="5"/>
      <c r="R29" s="5"/>
      <c r="S29" s="5"/>
      <c r="T29" s="5"/>
      <c r="U29" s="1"/>
      <c r="V29" s="3"/>
      <c r="W29" s="5"/>
      <c r="X29" s="5"/>
      <c r="Y29" s="5"/>
      <c r="Z29" s="5"/>
    </row>
  </sheetData>
  <mergeCells count="15">
    <mergeCell ref="M4:N5"/>
    <mergeCell ref="G5:H5"/>
    <mergeCell ref="I5:J5"/>
    <mergeCell ref="K5:L5"/>
    <mergeCell ref="B7:B29"/>
    <mergeCell ref="C7:N7"/>
    <mergeCell ref="C13:N13"/>
    <mergeCell ref="C16:N16"/>
    <mergeCell ref="C25:N25"/>
    <mergeCell ref="G4:L4"/>
    <mergeCell ref="B3:E3"/>
    <mergeCell ref="B4:B6"/>
    <mergeCell ref="C4:C6"/>
    <mergeCell ref="D4:D6"/>
    <mergeCell ref="E4:F5"/>
  </mergeCells>
  <pageMargins left="0.7" right="0.7" top="0.75" bottom="0.75" header="0.3" footer="0.3"/>
  <pageSetup paperSize="9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3:Z29"/>
  <sheetViews>
    <sheetView zoomScale="90" zoomScaleNormal="90" zoomScalePageLayoutView="90" workbookViewId="0">
      <selection activeCell="F20" sqref="F20"/>
    </sheetView>
  </sheetViews>
  <sheetFormatPr defaultColWidth="9.140625" defaultRowHeight="15" x14ac:dyDescent="0.25"/>
  <cols>
    <col min="1" max="1" width="5.7109375" style="12" customWidth="1"/>
    <col min="2" max="2" width="2.7109375" style="12" customWidth="1"/>
    <col min="3" max="3" width="10.5703125" style="12" customWidth="1"/>
    <col min="4" max="4" width="37.5703125" style="12" customWidth="1"/>
    <col min="5" max="6" width="7.28515625" style="12" customWidth="1"/>
    <col min="7" max="7" width="6.7109375" style="12" customWidth="1"/>
    <col min="8" max="8" width="6.85546875" style="12" customWidth="1"/>
    <col min="9" max="9" width="6.42578125" style="12" customWidth="1"/>
    <col min="10" max="10" width="6.5703125" style="12" customWidth="1"/>
    <col min="11" max="11" width="7.5703125" style="12" customWidth="1"/>
    <col min="12" max="12" width="7.42578125" style="12" customWidth="1"/>
    <col min="13" max="13" width="8.5703125" style="12" customWidth="1"/>
    <col min="14" max="14" width="7.5703125" style="12" customWidth="1"/>
    <col min="15" max="15" width="9" style="12" customWidth="1"/>
    <col min="16" max="16" width="7.28515625" style="12" customWidth="1"/>
    <col min="17" max="20" width="9.140625" style="12"/>
    <col min="21" max="21" width="19.7109375" style="12" customWidth="1"/>
    <col min="22" max="22" width="7.7109375" style="12" customWidth="1"/>
    <col min="23" max="23" width="9.140625" style="12"/>
    <col min="24" max="24" width="7.7109375" style="12" customWidth="1"/>
    <col min="25" max="16384" width="9.140625" style="12"/>
  </cols>
  <sheetData>
    <row r="3" spans="2:26" ht="18" customHeight="1" thickBot="1" x14ac:dyDescent="0.3">
      <c r="B3" s="172" t="s">
        <v>50</v>
      </c>
      <c r="C3" s="172"/>
      <c r="D3" s="172"/>
      <c r="E3" s="172"/>
      <c r="O3" s="2"/>
      <c r="P3" s="2"/>
      <c r="Q3" s="1"/>
      <c r="R3" s="1"/>
      <c r="S3" s="1"/>
      <c r="T3" s="1"/>
      <c r="U3" s="2"/>
      <c r="V3" s="2"/>
      <c r="W3" s="1"/>
      <c r="X3" s="1"/>
      <c r="Y3" s="1"/>
      <c r="Z3" s="1"/>
    </row>
    <row r="4" spans="2:26" ht="15" customHeight="1" x14ac:dyDescent="0.25">
      <c r="B4" s="197" t="s">
        <v>39</v>
      </c>
      <c r="C4" s="181" t="s">
        <v>0</v>
      </c>
      <c r="D4" s="184" t="s">
        <v>1</v>
      </c>
      <c r="E4" s="187" t="s">
        <v>6</v>
      </c>
      <c r="F4" s="188"/>
      <c r="G4" s="200" t="s">
        <v>7</v>
      </c>
      <c r="H4" s="200"/>
      <c r="I4" s="200"/>
      <c r="J4" s="200"/>
      <c r="K4" s="200"/>
      <c r="L4" s="200"/>
      <c r="M4" s="201" t="s">
        <v>5</v>
      </c>
      <c r="N4" s="202"/>
      <c r="O4" s="1"/>
      <c r="P4" s="3"/>
      <c r="Q4" s="5"/>
      <c r="R4" s="5"/>
      <c r="S4" s="5"/>
      <c r="T4" s="5"/>
      <c r="U4" s="1"/>
      <c r="V4" s="3"/>
      <c r="W4" s="5"/>
      <c r="X4" s="5"/>
      <c r="Y4" s="5"/>
      <c r="Z4" s="5"/>
    </row>
    <row r="5" spans="2:26" x14ac:dyDescent="0.25">
      <c r="B5" s="198"/>
      <c r="C5" s="182"/>
      <c r="D5" s="185"/>
      <c r="E5" s="189"/>
      <c r="F5" s="190"/>
      <c r="G5" s="205" t="s">
        <v>3</v>
      </c>
      <c r="H5" s="205"/>
      <c r="I5" s="203" t="s">
        <v>2</v>
      </c>
      <c r="J5" s="203"/>
      <c r="K5" s="205" t="s">
        <v>4</v>
      </c>
      <c r="L5" s="205"/>
      <c r="M5" s="203"/>
      <c r="N5" s="204"/>
      <c r="O5" s="1"/>
      <c r="P5" s="3"/>
      <c r="Q5" s="5"/>
      <c r="R5" s="5"/>
      <c r="S5" s="5"/>
      <c r="T5" s="5"/>
      <c r="U5" s="1"/>
      <c r="V5" s="3"/>
      <c r="W5" s="5"/>
      <c r="X5" s="5"/>
      <c r="Y5" s="5"/>
      <c r="Z5" s="5"/>
    </row>
    <row r="6" spans="2:26" ht="26.25" customHeight="1" thickBot="1" x14ac:dyDescent="0.3">
      <c r="B6" s="199"/>
      <c r="C6" s="183"/>
      <c r="D6" s="186"/>
      <c r="E6" s="58" t="s">
        <v>82</v>
      </c>
      <c r="F6" s="59" t="s">
        <v>83</v>
      </c>
      <c r="G6" s="58" t="s">
        <v>82</v>
      </c>
      <c r="H6" s="60" t="s">
        <v>83</v>
      </c>
      <c r="I6" s="58" t="s">
        <v>82</v>
      </c>
      <c r="J6" s="60" t="s">
        <v>83</v>
      </c>
      <c r="K6" s="58" t="s">
        <v>82</v>
      </c>
      <c r="L6" s="60" t="s">
        <v>83</v>
      </c>
      <c r="M6" s="58" t="s">
        <v>82</v>
      </c>
      <c r="N6" s="61" t="s">
        <v>83</v>
      </c>
      <c r="O6" s="1"/>
      <c r="P6" s="3"/>
      <c r="Q6" s="5"/>
      <c r="R6" s="5"/>
      <c r="S6" s="5"/>
      <c r="T6" s="5"/>
      <c r="U6" s="1"/>
      <c r="V6" s="3"/>
      <c r="W6" s="5"/>
      <c r="X6" s="5"/>
      <c r="Y6" s="5"/>
      <c r="Z6" s="5"/>
    </row>
    <row r="7" spans="2:26" ht="15" customHeight="1" x14ac:dyDescent="0.25">
      <c r="B7" s="194" t="s">
        <v>38</v>
      </c>
      <c r="C7" s="175" t="s">
        <v>8</v>
      </c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7"/>
    </row>
    <row r="8" spans="2:26" x14ac:dyDescent="0.25">
      <c r="B8" s="195"/>
      <c r="C8" s="15" t="s">
        <v>58</v>
      </c>
      <c r="D8" s="9" t="s">
        <v>60</v>
      </c>
      <c r="E8" s="102">
        <v>140</v>
      </c>
      <c r="F8" s="27">
        <v>160</v>
      </c>
      <c r="G8" s="17">
        <f>E8*2.5/100</f>
        <v>3.5</v>
      </c>
      <c r="H8" s="30">
        <f>F8*2.5/100</f>
        <v>4</v>
      </c>
      <c r="I8" s="17">
        <f>E8*3.2/100</f>
        <v>4.4800000000000004</v>
      </c>
      <c r="J8" s="30">
        <f>F8*3.2/100</f>
        <v>5.12</v>
      </c>
      <c r="K8" s="17">
        <f>E8*13.45/100</f>
        <v>18.829999999999998</v>
      </c>
      <c r="L8" s="30">
        <f>F8*13.46/100</f>
        <v>21.536000000000005</v>
      </c>
      <c r="M8" s="17">
        <f t="shared" ref="M8:N8" si="0">G8*4+I8*9+K8*4</f>
        <v>129.63999999999999</v>
      </c>
      <c r="N8" s="32">
        <f t="shared" si="0"/>
        <v>148.22400000000002</v>
      </c>
    </row>
    <row r="9" spans="2:26" x14ac:dyDescent="0.25">
      <c r="B9" s="195"/>
      <c r="C9" s="16" t="s">
        <v>168</v>
      </c>
      <c r="D9" s="93" t="s">
        <v>169</v>
      </c>
      <c r="E9" s="65">
        <v>25</v>
      </c>
      <c r="F9" s="62">
        <v>30</v>
      </c>
      <c r="G9" s="94">
        <f>E9*7.5/100</f>
        <v>1.875</v>
      </c>
      <c r="H9" s="40">
        <f>F9*7.5/100</f>
        <v>2.25</v>
      </c>
      <c r="I9" s="95">
        <f>E9*2.9/100</f>
        <v>0.72499999999999998</v>
      </c>
      <c r="J9" s="30">
        <f>F9*2.9/100</f>
        <v>0.87</v>
      </c>
      <c r="K9" s="95">
        <f>E9*51.4/100</f>
        <v>12.85</v>
      </c>
      <c r="L9" s="30">
        <f>F9*51.4/100</f>
        <v>15.42</v>
      </c>
      <c r="M9" s="95">
        <f t="shared" ref="M9:N12" si="1">G9*4+I9*9+K9*4</f>
        <v>65.424999999999997</v>
      </c>
      <c r="N9" s="32">
        <f t="shared" si="1"/>
        <v>78.509999999999991</v>
      </c>
    </row>
    <row r="10" spans="2:26" x14ac:dyDescent="0.25">
      <c r="B10" s="195"/>
      <c r="C10" s="48" t="s">
        <v>145</v>
      </c>
      <c r="D10" s="49" t="s">
        <v>146</v>
      </c>
      <c r="E10" s="98">
        <v>8</v>
      </c>
      <c r="F10" s="50">
        <v>10</v>
      </c>
      <c r="G10" s="17">
        <f>E10*0.8/100</f>
        <v>6.4000000000000001E-2</v>
      </c>
      <c r="H10" s="30">
        <f>F10*0.8/100</f>
        <v>0.08</v>
      </c>
      <c r="I10" s="17">
        <f>E10*72.5/100</f>
        <v>5.8</v>
      </c>
      <c r="J10" s="30">
        <f>F10*72.5/100</f>
        <v>7.25</v>
      </c>
      <c r="K10" s="17">
        <f>E10*1.3/100</f>
        <v>0.10400000000000001</v>
      </c>
      <c r="L10" s="30">
        <f>F10*1.3/100</f>
        <v>0.13</v>
      </c>
      <c r="M10" s="17">
        <f t="shared" si="1"/>
        <v>52.871999999999993</v>
      </c>
      <c r="N10" s="32">
        <f t="shared" si="1"/>
        <v>66.089999999999989</v>
      </c>
    </row>
    <row r="11" spans="2:26" x14ac:dyDescent="0.25">
      <c r="B11" s="195"/>
      <c r="C11" s="15" t="s">
        <v>87</v>
      </c>
      <c r="D11" s="9" t="s">
        <v>88</v>
      </c>
      <c r="E11" s="102">
        <v>180</v>
      </c>
      <c r="F11" s="28">
        <v>200</v>
      </c>
      <c r="G11" s="17">
        <f>E11*1.4/200</f>
        <v>1.2599999999999998</v>
      </c>
      <c r="H11" s="30">
        <f>F11*1.4/200</f>
        <v>1.4</v>
      </c>
      <c r="I11" s="17">
        <f>E11*1.2/200</f>
        <v>1.08</v>
      </c>
      <c r="J11" s="30">
        <f>F11*1.2/200</f>
        <v>1.2</v>
      </c>
      <c r="K11" s="17">
        <f>E11*11.4/200</f>
        <v>10.26</v>
      </c>
      <c r="L11" s="30">
        <f>F11*11.4/200</f>
        <v>11.4</v>
      </c>
      <c r="M11" s="17">
        <f t="shared" si="1"/>
        <v>55.8</v>
      </c>
      <c r="N11" s="32">
        <f t="shared" si="1"/>
        <v>62</v>
      </c>
    </row>
    <row r="12" spans="2:26" x14ac:dyDescent="0.25">
      <c r="B12" s="195"/>
      <c r="C12" s="23"/>
      <c r="D12" s="4" t="s">
        <v>13</v>
      </c>
      <c r="E12" s="21">
        <f>SUM(E8:E11)</f>
        <v>353</v>
      </c>
      <c r="F12" s="29">
        <f t="shared" ref="F12" si="2">SUM(F8:F11)</f>
        <v>400</v>
      </c>
      <c r="G12" s="7">
        <f>SUM(G8:G11)</f>
        <v>6.6989999999999998</v>
      </c>
      <c r="H12" s="31">
        <f t="shared" ref="H12:K12" si="3">SUM(H8:H11)</f>
        <v>7.73</v>
      </c>
      <c r="I12" s="7">
        <f t="shared" si="3"/>
        <v>12.084999999999999</v>
      </c>
      <c r="J12" s="31">
        <f t="shared" si="3"/>
        <v>14.44</v>
      </c>
      <c r="K12" s="7">
        <f t="shared" si="3"/>
        <v>42.043999999999997</v>
      </c>
      <c r="L12" s="31">
        <f>SUM(L8:L11)</f>
        <v>48.486000000000004</v>
      </c>
      <c r="M12" s="7">
        <f>G12*4+I12*9+K12*4</f>
        <v>303.73699999999997</v>
      </c>
      <c r="N12" s="33">
        <f t="shared" si="1"/>
        <v>354.82400000000001</v>
      </c>
    </row>
    <row r="13" spans="2:26" x14ac:dyDescent="0.25">
      <c r="B13" s="195"/>
      <c r="C13" s="178" t="s">
        <v>79</v>
      </c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80"/>
    </row>
    <row r="14" spans="2:26" x14ac:dyDescent="0.25">
      <c r="B14" s="195"/>
      <c r="C14" s="15" t="s">
        <v>142</v>
      </c>
      <c r="D14" s="9" t="s">
        <v>210</v>
      </c>
      <c r="E14" s="102">
        <v>100</v>
      </c>
      <c r="F14" s="27">
        <v>100</v>
      </c>
      <c r="G14" s="17">
        <f>E14*3/100</f>
        <v>3</v>
      </c>
      <c r="H14" s="30">
        <f>F14*3/100</f>
        <v>3</v>
      </c>
      <c r="I14" s="17">
        <f>E14*2.5/100</f>
        <v>2.5</v>
      </c>
      <c r="J14" s="30">
        <f>F14*2.5/100</f>
        <v>2.5</v>
      </c>
      <c r="K14" s="17">
        <f>E14*11/100</f>
        <v>11</v>
      </c>
      <c r="L14" s="30">
        <f>F14*11/100</f>
        <v>11</v>
      </c>
      <c r="M14" s="17">
        <f t="shared" ref="M14:N14" si="4">G14*4+I14*9+K14*4</f>
        <v>78.5</v>
      </c>
      <c r="N14" s="32">
        <f t="shared" si="4"/>
        <v>78.5</v>
      </c>
    </row>
    <row r="15" spans="2:26" x14ac:dyDescent="0.25">
      <c r="B15" s="195"/>
      <c r="C15" s="15"/>
      <c r="D15" s="4" t="s">
        <v>80</v>
      </c>
      <c r="E15" s="21">
        <f t="shared" ref="E15:L15" si="5">SUM(E14)</f>
        <v>100</v>
      </c>
      <c r="F15" s="29">
        <f t="shared" si="5"/>
        <v>100</v>
      </c>
      <c r="G15" s="7">
        <f t="shared" si="5"/>
        <v>3</v>
      </c>
      <c r="H15" s="31">
        <f t="shared" si="5"/>
        <v>3</v>
      </c>
      <c r="I15" s="7">
        <f t="shared" si="5"/>
        <v>2.5</v>
      </c>
      <c r="J15" s="31">
        <f t="shared" si="5"/>
        <v>2.5</v>
      </c>
      <c r="K15" s="7">
        <f t="shared" si="5"/>
        <v>11</v>
      </c>
      <c r="L15" s="31">
        <f t="shared" si="5"/>
        <v>11</v>
      </c>
      <c r="M15" s="7">
        <f>G15*4+I15*9+K15*4</f>
        <v>78.5</v>
      </c>
      <c r="N15" s="33">
        <f>H15*4+J15*9+L15*4</f>
        <v>78.5</v>
      </c>
    </row>
    <row r="16" spans="2:26" x14ac:dyDescent="0.25">
      <c r="B16" s="195"/>
      <c r="C16" s="178" t="s">
        <v>9</v>
      </c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80"/>
    </row>
    <row r="17" spans="2:14" x14ac:dyDescent="0.25">
      <c r="B17" s="195"/>
      <c r="C17" s="15" t="s">
        <v>212</v>
      </c>
      <c r="D17" s="6" t="s">
        <v>213</v>
      </c>
      <c r="E17" s="102">
        <v>30</v>
      </c>
      <c r="F17" s="34">
        <v>50</v>
      </c>
      <c r="G17" s="17">
        <f>E17*1.45/100</f>
        <v>0.435</v>
      </c>
      <c r="H17" s="30">
        <f>F17*1.45/100</f>
        <v>0.72499999999999998</v>
      </c>
      <c r="I17" s="17">
        <f>E17*6/100</f>
        <v>1.8</v>
      </c>
      <c r="J17" s="30">
        <f>F17*6/100</f>
        <v>3</v>
      </c>
      <c r="K17" s="17">
        <f>E17*8.4/100</f>
        <v>2.52</v>
      </c>
      <c r="L17" s="30">
        <f>F17*8.4/100</f>
        <v>4.2</v>
      </c>
      <c r="M17" s="19">
        <f t="shared" ref="M17:N21" si="6">G17*4+I17*9+K17*4</f>
        <v>28.019999999999996</v>
      </c>
      <c r="N17" s="37">
        <f t="shared" si="6"/>
        <v>46.7</v>
      </c>
    </row>
    <row r="18" spans="2:14" x14ac:dyDescent="0.25">
      <c r="B18" s="195"/>
      <c r="C18" s="15" t="s">
        <v>154</v>
      </c>
      <c r="D18" s="9" t="s">
        <v>155</v>
      </c>
      <c r="E18" s="100">
        <v>150</v>
      </c>
      <c r="F18" s="39">
        <v>180</v>
      </c>
      <c r="G18" s="17">
        <f>E18*0.94/100</f>
        <v>1.41</v>
      </c>
      <c r="H18" s="30">
        <f>F18*0.94/100</f>
        <v>1.6919999999999999</v>
      </c>
      <c r="I18" s="17">
        <f>E18*1.81/100</f>
        <v>2.7149999999999999</v>
      </c>
      <c r="J18" s="30">
        <f>F18*1.81/100</f>
        <v>3.258</v>
      </c>
      <c r="K18" s="17">
        <f>E18*3.82/100</f>
        <v>5.73</v>
      </c>
      <c r="L18" s="30">
        <f>F18*3.82/100</f>
        <v>6.8760000000000003</v>
      </c>
      <c r="M18" s="19">
        <f t="shared" si="6"/>
        <v>52.995000000000005</v>
      </c>
      <c r="N18" s="37">
        <f t="shared" si="6"/>
        <v>63.593999999999994</v>
      </c>
    </row>
    <row r="19" spans="2:14" x14ac:dyDescent="0.25">
      <c r="B19" s="195"/>
      <c r="C19" s="16" t="s">
        <v>267</v>
      </c>
      <c r="D19" s="6" t="s">
        <v>268</v>
      </c>
      <c r="E19" s="102">
        <v>120</v>
      </c>
      <c r="F19" s="28">
        <v>150</v>
      </c>
      <c r="G19" s="17">
        <f>E19*2.1/100</f>
        <v>2.52</v>
      </c>
      <c r="H19" s="30">
        <f>F19*2.1/100</f>
        <v>3.15</v>
      </c>
      <c r="I19" s="17">
        <f>E19*6.4/100</f>
        <v>7.68</v>
      </c>
      <c r="J19" s="30">
        <f>F19*6.4/100</f>
        <v>9.6</v>
      </c>
      <c r="K19" s="17">
        <f>E19*18.5/100</f>
        <v>22.2</v>
      </c>
      <c r="L19" s="30">
        <f>F19*18.5/100</f>
        <v>27.75</v>
      </c>
      <c r="M19" s="17">
        <f>G19*4+I19*9+K19*4</f>
        <v>168</v>
      </c>
      <c r="N19" s="32">
        <f t="shared" si="6"/>
        <v>210</v>
      </c>
    </row>
    <row r="20" spans="2:14" x14ac:dyDescent="0.25">
      <c r="B20" s="195"/>
      <c r="C20" s="16" t="s">
        <v>240</v>
      </c>
      <c r="D20" s="9" t="s">
        <v>241</v>
      </c>
      <c r="E20" s="102">
        <v>70</v>
      </c>
      <c r="F20" s="28">
        <v>80</v>
      </c>
      <c r="G20" s="17">
        <f>E20*9.45/100</f>
        <v>6.6150000000000002</v>
      </c>
      <c r="H20" s="30">
        <f>F20*9.45/100</f>
        <v>7.56</v>
      </c>
      <c r="I20" s="17">
        <f>E20*5.5/100</f>
        <v>3.85</v>
      </c>
      <c r="J20" s="30">
        <f>F20*5.5/100</f>
        <v>4.4000000000000004</v>
      </c>
      <c r="K20" s="17">
        <f>E20*4.5/100</f>
        <v>3.15</v>
      </c>
      <c r="L20" s="30">
        <f>F20*4.5/100</f>
        <v>3.6</v>
      </c>
      <c r="M20" s="17">
        <f t="shared" si="6"/>
        <v>73.709999999999994</v>
      </c>
      <c r="N20" s="32">
        <f t="shared" si="6"/>
        <v>84.240000000000009</v>
      </c>
    </row>
    <row r="21" spans="2:14" x14ac:dyDescent="0.25">
      <c r="B21" s="195"/>
      <c r="C21" s="15" t="s">
        <v>43</v>
      </c>
      <c r="D21" s="9" t="s">
        <v>91</v>
      </c>
      <c r="E21" s="102">
        <v>150</v>
      </c>
      <c r="F21" s="28">
        <v>180</v>
      </c>
      <c r="G21" s="17">
        <f>E21*0.67/200</f>
        <v>0.50249999999999995</v>
      </c>
      <c r="H21" s="30">
        <f>F21*0.67/200</f>
        <v>0.60300000000000009</v>
      </c>
      <c r="I21" s="17">
        <f>E21*0.27/200</f>
        <v>0.20250000000000001</v>
      </c>
      <c r="J21" s="30">
        <f>F21*0.27/200</f>
        <v>0.24299999999999999</v>
      </c>
      <c r="K21" s="17">
        <f>E21*18.3/200</f>
        <v>13.725</v>
      </c>
      <c r="L21" s="30">
        <f>F21*18.3/200</f>
        <v>16.47</v>
      </c>
      <c r="M21" s="17">
        <f t="shared" si="6"/>
        <v>58.732500000000002</v>
      </c>
      <c r="N21" s="32">
        <f t="shared" si="6"/>
        <v>70.478999999999999</v>
      </c>
    </row>
    <row r="22" spans="2:14" x14ac:dyDescent="0.25">
      <c r="B22" s="195"/>
      <c r="C22" s="16" t="s">
        <v>139</v>
      </c>
      <c r="D22" s="6" t="s">
        <v>22</v>
      </c>
      <c r="E22" s="65">
        <v>25</v>
      </c>
      <c r="F22" s="62">
        <v>30</v>
      </c>
      <c r="G22" s="17">
        <f>E22*8/100</f>
        <v>2</v>
      </c>
      <c r="H22" s="30">
        <f>F22*8/100</f>
        <v>2.4</v>
      </c>
      <c r="I22" s="17">
        <f>E22*1.5/100</f>
        <v>0.375</v>
      </c>
      <c r="J22" s="30">
        <f>F22*1.5/100</f>
        <v>0.45</v>
      </c>
      <c r="K22" s="17">
        <f>E22*40.1/100</f>
        <v>10.025</v>
      </c>
      <c r="L22" s="30">
        <f>F22*40.1/100</f>
        <v>12.03</v>
      </c>
      <c r="M22" s="17">
        <f t="shared" ref="M22:N23" si="7">G22*4+I22*9+K22*4</f>
        <v>51.475000000000001</v>
      </c>
      <c r="N22" s="32">
        <f t="shared" si="7"/>
        <v>61.769999999999996</v>
      </c>
    </row>
    <row r="23" spans="2:14" x14ac:dyDescent="0.25">
      <c r="B23" s="195"/>
      <c r="C23" s="16" t="s">
        <v>137</v>
      </c>
      <c r="D23" s="6" t="s">
        <v>138</v>
      </c>
      <c r="E23" s="65">
        <v>25</v>
      </c>
      <c r="F23" s="62">
        <v>30</v>
      </c>
      <c r="G23" s="17">
        <f>E23*7.6/100</f>
        <v>1.9</v>
      </c>
      <c r="H23" s="30">
        <f>F23*7.6/100</f>
        <v>2.2799999999999998</v>
      </c>
      <c r="I23" s="17">
        <f>E23*0.8/100</f>
        <v>0.2</v>
      </c>
      <c r="J23" s="30">
        <f>F23*0.8/100</f>
        <v>0.24</v>
      </c>
      <c r="K23" s="17">
        <f>E23*49.2/100</f>
        <v>12.3</v>
      </c>
      <c r="L23" s="30">
        <f>F23*49.2/100</f>
        <v>14.76</v>
      </c>
      <c r="M23" s="17">
        <f t="shared" si="7"/>
        <v>58.6</v>
      </c>
      <c r="N23" s="32">
        <f t="shared" si="7"/>
        <v>70.319999999999993</v>
      </c>
    </row>
    <row r="24" spans="2:14" x14ac:dyDescent="0.25">
      <c r="B24" s="195"/>
      <c r="C24" s="16"/>
      <c r="D24" s="4" t="s">
        <v>14</v>
      </c>
      <c r="E24" s="21">
        <f t="shared" ref="E24:N24" si="8">SUM(E17:E23)</f>
        <v>570</v>
      </c>
      <c r="F24" s="35">
        <f t="shared" si="8"/>
        <v>700</v>
      </c>
      <c r="G24" s="7">
        <f t="shared" si="8"/>
        <v>15.3825</v>
      </c>
      <c r="H24" s="31">
        <f t="shared" si="8"/>
        <v>18.41</v>
      </c>
      <c r="I24" s="7">
        <f t="shared" si="8"/>
        <v>16.822500000000002</v>
      </c>
      <c r="J24" s="31">
        <f t="shared" si="8"/>
        <v>21.190999999999999</v>
      </c>
      <c r="K24" s="7">
        <f t="shared" si="8"/>
        <v>69.650000000000006</v>
      </c>
      <c r="L24" s="31">
        <f t="shared" si="8"/>
        <v>85.686000000000007</v>
      </c>
      <c r="M24" s="7">
        <f t="shared" si="8"/>
        <v>491.53250000000003</v>
      </c>
      <c r="N24" s="33">
        <f t="shared" si="8"/>
        <v>607.10300000000007</v>
      </c>
    </row>
    <row r="25" spans="2:14" x14ac:dyDescent="0.25">
      <c r="B25" s="195"/>
      <c r="C25" s="191" t="s">
        <v>84</v>
      </c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3"/>
    </row>
    <row r="26" spans="2:14" x14ac:dyDescent="0.25">
      <c r="B26" s="195"/>
      <c r="C26" s="15" t="s">
        <v>180</v>
      </c>
      <c r="D26" s="8" t="s">
        <v>181</v>
      </c>
      <c r="E26" s="102">
        <v>60</v>
      </c>
      <c r="F26" s="27">
        <v>70</v>
      </c>
      <c r="G26" s="17">
        <f>E26*29.6/100</f>
        <v>17.760000000000002</v>
      </c>
      <c r="H26" s="30">
        <f>F26*29.6/100</f>
        <v>20.72</v>
      </c>
      <c r="I26" s="17">
        <f>E26*7.8/100</f>
        <v>4.68</v>
      </c>
      <c r="J26" s="30">
        <f>F26*7.8/100</f>
        <v>5.46</v>
      </c>
      <c r="K26" s="17">
        <f>E26*31.9/100</f>
        <v>19.14</v>
      </c>
      <c r="L26" s="30">
        <f>F26*31.9/100</f>
        <v>22.33</v>
      </c>
      <c r="M26" s="17">
        <f t="shared" ref="M26:N26" si="9">G26*4+I26*9+K26*4</f>
        <v>189.72</v>
      </c>
      <c r="N26" s="32">
        <f t="shared" si="9"/>
        <v>221.33999999999997</v>
      </c>
    </row>
    <row r="27" spans="2:14" x14ac:dyDescent="0.25">
      <c r="B27" s="195"/>
      <c r="C27" s="16" t="s">
        <v>44</v>
      </c>
      <c r="D27" s="6" t="s">
        <v>11</v>
      </c>
      <c r="E27" s="98">
        <v>150</v>
      </c>
      <c r="F27" s="28">
        <v>180</v>
      </c>
      <c r="G27" s="17">
        <f>E27*0.3/200</f>
        <v>0.22500000000000001</v>
      </c>
      <c r="H27" s="30">
        <f>F27*0.3/200</f>
        <v>0.27</v>
      </c>
      <c r="I27" s="17">
        <f t="shared" ref="I27:J27" si="10">E27*0.1/200</f>
        <v>7.4999999999999997E-2</v>
      </c>
      <c r="J27" s="30">
        <f t="shared" si="10"/>
        <v>0.09</v>
      </c>
      <c r="K27" s="17">
        <f>E27*9.5/200</f>
        <v>7.125</v>
      </c>
      <c r="L27" s="30">
        <f>F27*9.5/200</f>
        <v>8.5500000000000007</v>
      </c>
      <c r="M27" s="17">
        <f t="shared" ref="M27:N27" si="11">G27*4+I27*9+K27*4</f>
        <v>30.074999999999999</v>
      </c>
      <c r="N27" s="32">
        <f t="shared" si="11"/>
        <v>36.090000000000003</v>
      </c>
    </row>
    <row r="28" spans="2:14" x14ac:dyDescent="0.25">
      <c r="B28" s="195"/>
      <c r="C28" s="44"/>
      <c r="D28" s="51" t="s">
        <v>81</v>
      </c>
      <c r="E28" s="52">
        <f t="shared" ref="E28:N28" si="12">SUM(E26:E27)</f>
        <v>210</v>
      </c>
      <c r="F28" s="53">
        <f t="shared" si="12"/>
        <v>250</v>
      </c>
      <c r="G28" s="54">
        <f t="shared" si="12"/>
        <v>17.985000000000003</v>
      </c>
      <c r="H28" s="55">
        <f t="shared" si="12"/>
        <v>20.99</v>
      </c>
      <c r="I28" s="54">
        <f t="shared" si="12"/>
        <v>4.7549999999999999</v>
      </c>
      <c r="J28" s="55">
        <f t="shared" si="12"/>
        <v>5.55</v>
      </c>
      <c r="K28" s="54">
        <f t="shared" si="12"/>
        <v>26.265000000000001</v>
      </c>
      <c r="L28" s="55">
        <f t="shared" si="12"/>
        <v>30.88</v>
      </c>
      <c r="M28" s="54">
        <f t="shared" si="12"/>
        <v>219.79499999999999</v>
      </c>
      <c r="N28" s="56">
        <f t="shared" si="12"/>
        <v>257.42999999999995</v>
      </c>
    </row>
    <row r="29" spans="2:14" ht="15.75" thickBot="1" x14ac:dyDescent="0.3">
      <c r="B29" s="196"/>
      <c r="C29" s="22"/>
      <c r="D29" s="13" t="s">
        <v>12</v>
      </c>
      <c r="E29" s="18"/>
      <c r="F29" s="45"/>
      <c r="G29" s="14">
        <f t="shared" ref="G29:N29" si="13">G28+G24+G15+G12</f>
        <v>43.066500000000005</v>
      </c>
      <c r="H29" s="36">
        <f t="shared" si="13"/>
        <v>50.129999999999995</v>
      </c>
      <c r="I29" s="14">
        <f t="shared" si="13"/>
        <v>36.162500000000001</v>
      </c>
      <c r="J29" s="36">
        <f t="shared" si="13"/>
        <v>43.680999999999997</v>
      </c>
      <c r="K29" s="14">
        <f t="shared" si="13"/>
        <v>148.959</v>
      </c>
      <c r="L29" s="36">
        <f t="shared" si="13"/>
        <v>176.05200000000002</v>
      </c>
      <c r="M29" s="14">
        <f t="shared" si="13"/>
        <v>1093.5645</v>
      </c>
      <c r="N29" s="38">
        <f t="shared" si="13"/>
        <v>1297.857</v>
      </c>
    </row>
  </sheetData>
  <mergeCells count="15">
    <mergeCell ref="M4:N5"/>
    <mergeCell ref="G5:H5"/>
    <mergeCell ref="I5:J5"/>
    <mergeCell ref="K5:L5"/>
    <mergeCell ref="B3:E3"/>
    <mergeCell ref="B4:B6"/>
    <mergeCell ref="C4:C6"/>
    <mergeCell ref="D4:D6"/>
    <mergeCell ref="E4:F5"/>
    <mergeCell ref="G4:L4"/>
    <mergeCell ref="B7:B29"/>
    <mergeCell ref="C7:N7"/>
    <mergeCell ref="C13:N13"/>
    <mergeCell ref="C16:N16"/>
    <mergeCell ref="C25:N2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3:Z33"/>
  <sheetViews>
    <sheetView zoomScale="90" zoomScaleNormal="90" zoomScalePageLayoutView="90" workbookViewId="0">
      <selection activeCell="F27" sqref="F27"/>
    </sheetView>
  </sheetViews>
  <sheetFormatPr defaultColWidth="9.140625" defaultRowHeight="15" x14ac:dyDescent="0.25"/>
  <cols>
    <col min="1" max="1" width="5.7109375" style="12" customWidth="1"/>
    <col min="2" max="2" width="2.7109375" style="12" customWidth="1"/>
    <col min="3" max="3" width="10.5703125" style="12" customWidth="1"/>
    <col min="4" max="4" width="37.5703125" style="12" customWidth="1"/>
    <col min="5" max="6" width="7.28515625" style="12" customWidth="1"/>
    <col min="7" max="7" width="6.7109375" style="12" customWidth="1"/>
    <col min="8" max="8" width="6.85546875" style="12" customWidth="1"/>
    <col min="9" max="9" width="6.42578125" style="12" customWidth="1"/>
    <col min="10" max="10" width="6.5703125" style="12" customWidth="1"/>
    <col min="11" max="11" width="7.5703125" style="12" customWidth="1"/>
    <col min="12" max="12" width="7.42578125" style="12" customWidth="1"/>
    <col min="13" max="13" width="8.5703125" style="12" customWidth="1"/>
    <col min="14" max="14" width="7.5703125" style="12" customWidth="1"/>
    <col min="15" max="15" width="9" style="12" customWidth="1"/>
    <col min="16" max="16" width="7.28515625" style="12" customWidth="1"/>
    <col min="17" max="20" width="9.140625" style="12"/>
    <col min="21" max="21" width="19.7109375" style="12" customWidth="1"/>
    <col min="22" max="22" width="7.7109375" style="12" customWidth="1"/>
    <col min="23" max="23" width="9.140625" style="12"/>
    <col min="24" max="24" width="7.7109375" style="12" customWidth="1"/>
    <col min="25" max="16384" width="9.140625" style="12"/>
  </cols>
  <sheetData>
    <row r="3" spans="2:26" ht="21" customHeight="1" thickBot="1" x14ac:dyDescent="0.3">
      <c r="B3" s="172" t="s">
        <v>50</v>
      </c>
      <c r="C3" s="172"/>
      <c r="D3" s="172"/>
      <c r="E3" s="172"/>
      <c r="O3" s="2"/>
      <c r="P3" s="2"/>
      <c r="Q3" s="1"/>
      <c r="R3" s="1"/>
      <c r="S3" s="1"/>
      <c r="T3" s="1"/>
      <c r="U3" s="2"/>
      <c r="V3" s="2"/>
      <c r="W3" s="1"/>
      <c r="X3" s="1"/>
      <c r="Y3" s="1"/>
      <c r="Z3" s="1"/>
    </row>
    <row r="4" spans="2:26" ht="15" customHeight="1" x14ac:dyDescent="0.25">
      <c r="B4" s="197" t="s">
        <v>39</v>
      </c>
      <c r="C4" s="181" t="s">
        <v>0</v>
      </c>
      <c r="D4" s="184" t="s">
        <v>1</v>
      </c>
      <c r="E4" s="187" t="s">
        <v>6</v>
      </c>
      <c r="F4" s="188"/>
      <c r="G4" s="200" t="s">
        <v>7</v>
      </c>
      <c r="H4" s="200"/>
      <c r="I4" s="200"/>
      <c r="J4" s="200"/>
      <c r="K4" s="200"/>
      <c r="L4" s="200"/>
      <c r="M4" s="201" t="s">
        <v>5</v>
      </c>
      <c r="N4" s="202"/>
      <c r="O4" s="1"/>
      <c r="P4" s="3"/>
      <c r="Q4" s="5"/>
      <c r="R4" s="5"/>
      <c r="S4" s="5"/>
      <c r="T4" s="5"/>
      <c r="U4" s="1"/>
      <c r="V4" s="3"/>
      <c r="W4" s="5"/>
      <c r="X4" s="5"/>
      <c r="Y4" s="5"/>
      <c r="Z4" s="5"/>
    </row>
    <row r="5" spans="2:26" x14ac:dyDescent="0.25">
      <c r="B5" s="198"/>
      <c r="C5" s="182"/>
      <c r="D5" s="185"/>
      <c r="E5" s="189"/>
      <c r="F5" s="190"/>
      <c r="G5" s="205" t="s">
        <v>3</v>
      </c>
      <c r="H5" s="205"/>
      <c r="I5" s="203" t="s">
        <v>2</v>
      </c>
      <c r="J5" s="203"/>
      <c r="K5" s="205" t="s">
        <v>4</v>
      </c>
      <c r="L5" s="205"/>
      <c r="M5" s="203"/>
      <c r="N5" s="204"/>
      <c r="O5" s="1"/>
      <c r="P5" s="3"/>
      <c r="Q5" s="5"/>
      <c r="R5" s="5"/>
      <c r="S5" s="5"/>
      <c r="T5" s="5"/>
      <c r="U5" s="1"/>
      <c r="V5" s="3"/>
      <c r="W5" s="5"/>
      <c r="X5" s="5"/>
      <c r="Y5" s="5"/>
      <c r="Z5" s="5"/>
    </row>
    <row r="6" spans="2:26" ht="23.25" customHeight="1" thickBot="1" x14ac:dyDescent="0.3">
      <c r="B6" s="199"/>
      <c r="C6" s="183"/>
      <c r="D6" s="186"/>
      <c r="E6" s="58" t="s">
        <v>82</v>
      </c>
      <c r="F6" s="59" t="s">
        <v>83</v>
      </c>
      <c r="G6" s="58" t="s">
        <v>82</v>
      </c>
      <c r="H6" s="60" t="s">
        <v>83</v>
      </c>
      <c r="I6" s="58" t="s">
        <v>82</v>
      </c>
      <c r="J6" s="60" t="s">
        <v>83</v>
      </c>
      <c r="K6" s="58" t="s">
        <v>82</v>
      </c>
      <c r="L6" s="60" t="s">
        <v>83</v>
      </c>
      <c r="M6" s="58" t="s">
        <v>82</v>
      </c>
      <c r="N6" s="61" t="s">
        <v>83</v>
      </c>
      <c r="O6" s="1"/>
      <c r="P6" s="3"/>
      <c r="Q6" s="5"/>
      <c r="R6" s="5"/>
      <c r="S6" s="5"/>
      <c r="T6" s="5"/>
      <c r="U6" s="1"/>
      <c r="V6" s="3"/>
      <c r="W6" s="5"/>
      <c r="X6" s="5"/>
      <c r="Y6" s="5"/>
      <c r="Z6" s="5"/>
    </row>
    <row r="7" spans="2:26" ht="15" customHeight="1" x14ac:dyDescent="0.25">
      <c r="B7" s="194" t="s">
        <v>40</v>
      </c>
      <c r="C7" s="175" t="s">
        <v>8</v>
      </c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7"/>
      <c r="Q7" s="12" t="s">
        <v>23</v>
      </c>
    </row>
    <row r="8" spans="2:26" x14ac:dyDescent="0.25">
      <c r="B8" s="195"/>
      <c r="C8" s="15" t="s">
        <v>176</v>
      </c>
      <c r="D8" s="8" t="s">
        <v>177</v>
      </c>
      <c r="E8" s="102">
        <v>100</v>
      </c>
      <c r="F8" s="27">
        <v>200</v>
      </c>
      <c r="G8" s="17">
        <f>E8*3.62/100</f>
        <v>3.62</v>
      </c>
      <c r="H8" s="30">
        <f>F8*3.62/100</f>
        <v>7.24</v>
      </c>
      <c r="I8" s="17">
        <f>E8*3.32/100</f>
        <v>3.32</v>
      </c>
      <c r="J8" s="30">
        <f>F8*3.32/100</f>
        <v>6.64</v>
      </c>
      <c r="K8" s="17">
        <f>E8*16.56/100</f>
        <v>16.559999999999999</v>
      </c>
      <c r="L8" s="30">
        <f>F8*16.56/100</f>
        <v>33.119999999999997</v>
      </c>
      <c r="M8" s="17">
        <f t="shared" ref="M8:N8" si="0">G8*4+I8*9+K8*4</f>
        <v>110.6</v>
      </c>
      <c r="N8" s="32">
        <f t="shared" si="0"/>
        <v>221.2</v>
      </c>
    </row>
    <row r="9" spans="2:26" x14ac:dyDescent="0.25">
      <c r="B9" s="195"/>
      <c r="C9" s="16" t="s">
        <v>168</v>
      </c>
      <c r="D9" s="93" t="s">
        <v>169</v>
      </c>
      <c r="E9" s="65">
        <v>25</v>
      </c>
      <c r="F9" s="62">
        <v>30</v>
      </c>
      <c r="G9" s="94">
        <f>E9*7.5/100</f>
        <v>1.875</v>
      </c>
      <c r="H9" s="40">
        <f>F9*7.5/100</f>
        <v>2.25</v>
      </c>
      <c r="I9" s="95">
        <f>E9*2.9/100</f>
        <v>0.72499999999999998</v>
      </c>
      <c r="J9" s="30">
        <f>F9*2.9/100</f>
        <v>0.87</v>
      </c>
      <c r="K9" s="95">
        <f>E9*51.4/100</f>
        <v>12.85</v>
      </c>
      <c r="L9" s="30">
        <f>F9*51.4/100</f>
        <v>15.42</v>
      </c>
      <c r="M9" s="95">
        <f t="shared" ref="M9:N12" si="1">G9*4+I9*9+K9*4</f>
        <v>65.424999999999997</v>
      </c>
      <c r="N9" s="32">
        <f t="shared" si="1"/>
        <v>78.509999999999991</v>
      </c>
    </row>
    <row r="10" spans="2:26" x14ac:dyDescent="0.25">
      <c r="B10" s="195"/>
      <c r="C10" s="48" t="s">
        <v>140</v>
      </c>
      <c r="D10" s="103" t="s">
        <v>141</v>
      </c>
      <c r="E10" s="102">
        <v>8</v>
      </c>
      <c r="F10" s="50">
        <v>10</v>
      </c>
      <c r="G10" s="17">
        <f>E10*23.2/100</f>
        <v>1.8559999999999999</v>
      </c>
      <c r="H10" s="30">
        <f>F10*23.2/100</f>
        <v>2.3199999999999998</v>
      </c>
      <c r="I10" s="17">
        <f>E10*29.5/100</f>
        <v>2.36</v>
      </c>
      <c r="J10" s="30">
        <f>F10*29.5/100</f>
        <v>2.95</v>
      </c>
      <c r="K10" s="17">
        <f>E10*0/100</f>
        <v>0</v>
      </c>
      <c r="L10" s="30">
        <f>F10*0/100</f>
        <v>0</v>
      </c>
      <c r="M10" s="17">
        <f t="shared" si="1"/>
        <v>28.663999999999998</v>
      </c>
      <c r="N10" s="32">
        <f t="shared" si="1"/>
        <v>35.83</v>
      </c>
    </row>
    <row r="11" spans="2:26" x14ac:dyDescent="0.25">
      <c r="B11" s="195"/>
      <c r="C11" s="16" t="s">
        <v>44</v>
      </c>
      <c r="D11" s="6" t="s">
        <v>11</v>
      </c>
      <c r="E11" s="98">
        <v>180</v>
      </c>
      <c r="F11" s="28">
        <v>200</v>
      </c>
      <c r="G11" s="17">
        <f>E11*0.3/200</f>
        <v>0.27</v>
      </c>
      <c r="H11" s="30">
        <f>F11*0.3/200</f>
        <v>0.3</v>
      </c>
      <c r="I11" s="17">
        <f t="shared" ref="I11:J11" si="2">E11*0.1/200</f>
        <v>0.09</v>
      </c>
      <c r="J11" s="30">
        <f t="shared" si="2"/>
        <v>0.1</v>
      </c>
      <c r="K11" s="17">
        <f>E11*9.5/200</f>
        <v>8.5500000000000007</v>
      </c>
      <c r="L11" s="30">
        <f>F11*9.5/200</f>
        <v>9.5</v>
      </c>
      <c r="M11" s="17">
        <f t="shared" si="1"/>
        <v>36.090000000000003</v>
      </c>
      <c r="N11" s="32">
        <f t="shared" si="1"/>
        <v>40.1</v>
      </c>
    </row>
    <row r="12" spans="2:26" x14ac:dyDescent="0.25">
      <c r="B12" s="195"/>
      <c r="C12" s="23"/>
      <c r="D12" s="4" t="s">
        <v>13</v>
      </c>
      <c r="E12" s="21">
        <f>SUM(E8:E11)</f>
        <v>313</v>
      </c>
      <c r="F12" s="29">
        <f t="shared" ref="F12" si="3">SUM(F8:F11)</f>
        <v>440</v>
      </c>
      <c r="G12" s="7">
        <f>SUM(G8:G11)</f>
        <v>7.6210000000000004</v>
      </c>
      <c r="H12" s="31">
        <f t="shared" ref="H12:K12" si="4">SUM(H8:H11)</f>
        <v>12.110000000000001</v>
      </c>
      <c r="I12" s="7">
        <f t="shared" si="4"/>
        <v>6.4949999999999992</v>
      </c>
      <c r="J12" s="31">
        <f t="shared" si="4"/>
        <v>10.56</v>
      </c>
      <c r="K12" s="7">
        <f t="shared" si="4"/>
        <v>37.959999999999994</v>
      </c>
      <c r="L12" s="31">
        <f>SUM(L8:L11)</f>
        <v>58.04</v>
      </c>
      <c r="M12" s="7">
        <f>G12*4+I12*9+K12*4</f>
        <v>240.77899999999997</v>
      </c>
      <c r="N12" s="33">
        <f t="shared" si="1"/>
        <v>375.64</v>
      </c>
    </row>
    <row r="13" spans="2:26" x14ac:dyDescent="0.25">
      <c r="B13" s="195"/>
      <c r="C13" s="178" t="s">
        <v>79</v>
      </c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80"/>
    </row>
    <row r="14" spans="2:26" x14ac:dyDescent="0.25">
      <c r="B14" s="195"/>
      <c r="C14" s="16" t="s">
        <v>172</v>
      </c>
      <c r="D14" s="6" t="s">
        <v>173</v>
      </c>
      <c r="E14" s="98">
        <v>150</v>
      </c>
      <c r="F14" s="28">
        <v>150</v>
      </c>
      <c r="G14" s="17">
        <f>E14*0.4/100</f>
        <v>0.6</v>
      </c>
      <c r="H14" s="30">
        <f>F14*0.4/100</f>
        <v>0.6</v>
      </c>
      <c r="I14" s="17">
        <f>E14*0.4/100</f>
        <v>0.6</v>
      </c>
      <c r="J14" s="30">
        <f>F14*0.4/100</f>
        <v>0.6</v>
      </c>
      <c r="K14" s="17">
        <f>E14*9.8/100</f>
        <v>14.7</v>
      </c>
      <c r="L14" s="30">
        <f>F14*9.8/100</f>
        <v>14.7</v>
      </c>
      <c r="M14" s="17">
        <f t="shared" ref="M14:N14" si="5">G14*4+I14*9+K14*4</f>
        <v>66.599999999999994</v>
      </c>
      <c r="N14" s="32">
        <f t="shared" si="5"/>
        <v>66.599999999999994</v>
      </c>
    </row>
    <row r="15" spans="2:26" x14ac:dyDescent="0.25">
      <c r="B15" s="195"/>
      <c r="C15" s="15"/>
      <c r="D15" s="4" t="s">
        <v>80</v>
      </c>
      <c r="E15" s="21">
        <f t="shared" ref="E15:L15" si="6">SUM(E14)</f>
        <v>150</v>
      </c>
      <c r="F15" s="29">
        <f t="shared" si="6"/>
        <v>150</v>
      </c>
      <c r="G15" s="7">
        <f t="shared" si="6"/>
        <v>0.6</v>
      </c>
      <c r="H15" s="31">
        <f t="shared" si="6"/>
        <v>0.6</v>
      </c>
      <c r="I15" s="7">
        <f t="shared" si="6"/>
        <v>0.6</v>
      </c>
      <c r="J15" s="31">
        <f t="shared" si="6"/>
        <v>0.6</v>
      </c>
      <c r="K15" s="7">
        <f t="shared" si="6"/>
        <v>14.7</v>
      </c>
      <c r="L15" s="31">
        <f t="shared" si="6"/>
        <v>14.7</v>
      </c>
      <c r="M15" s="7">
        <f>G15*4+I15*9+K15*4</f>
        <v>66.599999999999994</v>
      </c>
      <c r="N15" s="33">
        <f>H15*4+J15*9+L15*4</f>
        <v>66.599999999999994</v>
      </c>
    </row>
    <row r="16" spans="2:26" x14ac:dyDescent="0.25">
      <c r="B16" s="195"/>
      <c r="C16" s="178" t="s">
        <v>9</v>
      </c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80"/>
    </row>
    <row r="17" spans="2:14" ht="25.5" x14ac:dyDescent="0.25">
      <c r="B17" s="195"/>
      <c r="C17" s="15" t="s">
        <v>242</v>
      </c>
      <c r="D17" s="8" t="s">
        <v>243</v>
      </c>
      <c r="E17" s="100">
        <v>30</v>
      </c>
      <c r="F17" s="39">
        <v>50</v>
      </c>
      <c r="G17" s="19">
        <f>E17*2.1/100</f>
        <v>0.63</v>
      </c>
      <c r="H17" s="40">
        <f>F17*2.1/100</f>
        <v>1.05</v>
      </c>
      <c r="I17" s="19">
        <f>E17*6.3/100</f>
        <v>1.89</v>
      </c>
      <c r="J17" s="40">
        <f>F17*6.3/100</f>
        <v>3.15</v>
      </c>
      <c r="K17" s="19">
        <f>E17*8.23/100</f>
        <v>2.4689999999999999</v>
      </c>
      <c r="L17" s="40">
        <f>F17*8.23/100</f>
        <v>4.1150000000000002</v>
      </c>
      <c r="M17" s="19">
        <f t="shared" ref="M17:N19" si="7">G17*4+I17*9+K17*4</f>
        <v>29.405999999999999</v>
      </c>
      <c r="N17" s="37">
        <f t="shared" si="7"/>
        <v>49.01</v>
      </c>
    </row>
    <row r="18" spans="2:14" x14ac:dyDescent="0.25">
      <c r="B18" s="195"/>
      <c r="C18" s="15" t="s">
        <v>244</v>
      </c>
      <c r="D18" s="8" t="s">
        <v>245</v>
      </c>
      <c r="E18" s="100">
        <v>150</v>
      </c>
      <c r="F18" s="39">
        <v>180</v>
      </c>
      <c r="G18" s="19">
        <f>E18*2.9/250</f>
        <v>1.74</v>
      </c>
      <c r="H18" s="40">
        <f>F18*2.9/250</f>
        <v>2.0880000000000001</v>
      </c>
      <c r="I18" s="19">
        <f>E18*2.5/250</f>
        <v>1.5</v>
      </c>
      <c r="J18" s="40">
        <f>F18*2.5/250</f>
        <v>1.8</v>
      </c>
      <c r="K18" s="19">
        <f>E18*21/250</f>
        <v>12.6</v>
      </c>
      <c r="L18" s="40">
        <f>F18*21/250</f>
        <v>15.12</v>
      </c>
      <c r="M18" s="19">
        <f t="shared" si="7"/>
        <v>70.86</v>
      </c>
      <c r="N18" s="37">
        <f t="shared" si="7"/>
        <v>85.031999999999996</v>
      </c>
    </row>
    <row r="19" spans="2:14" x14ac:dyDescent="0.25">
      <c r="B19" s="195"/>
      <c r="C19" s="15" t="s">
        <v>246</v>
      </c>
      <c r="D19" s="8" t="s">
        <v>247</v>
      </c>
      <c r="E19" s="102">
        <v>150</v>
      </c>
      <c r="F19" s="28">
        <v>200</v>
      </c>
      <c r="G19" s="17">
        <f>E19*7.31/100</f>
        <v>10.965</v>
      </c>
      <c r="H19" s="30">
        <f>F19*7.31/100</f>
        <v>14.62</v>
      </c>
      <c r="I19" s="102">
        <f>E19*9.9/100</f>
        <v>14.85</v>
      </c>
      <c r="J19" s="30">
        <f>F19*9.9/100</f>
        <v>19.8</v>
      </c>
      <c r="K19" s="17">
        <f>E19*6.27/100</f>
        <v>9.4049999999999994</v>
      </c>
      <c r="L19" s="30">
        <f>F19*6.27/100</f>
        <v>12.54</v>
      </c>
      <c r="M19" s="17">
        <f t="shared" si="7"/>
        <v>215.13</v>
      </c>
      <c r="N19" s="32">
        <f t="shared" si="7"/>
        <v>286.84000000000003</v>
      </c>
    </row>
    <row r="20" spans="2:14" x14ac:dyDescent="0.25">
      <c r="B20" s="195"/>
      <c r="C20" s="15" t="s">
        <v>94</v>
      </c>
      <c r="D20" s="9" t="s">
        <v>95</v>
      </c>
      <c r="E20" s="98">
        <v>50</v>
      </c>
      <c r="F20" s="28">
        <v>70</v>
      </c>
      <c r="G20" s="17">
        <f>E20*13.5/100</f>
        <v>6.75</v>
      </c>
      <c r="H20" s="30">
        <f>F20*13.5/100</f>
        <v>9.4499999999999993</v>
      </c>
      <c r="I20" s="17">
        <f>E20*21/100</f>
        <v>10.5</v>
      </c>
      <c r="J20" s="30">
        <f>F20*21/100</f>
        <v>14.7</v>
      </c>
      <c r="K20" s="17">
        <f>E20*9.9/100</f>
        <v>4.95</v>
      </c>
      <c r="L20" s="30">
        <f>F20*9.9/100</f>
        <v>6.93</v>
      </c>
      <c r="M20" s="17">
        <f t="shared" ref="M20:N23" si="8">G20*4+I20*9+K20*4</f>
        <v>141.30000000000001</v>
      </c>
      <c r="N20" s="32">
        <f t="shared" si="8"/>
        <v>197.81999999999996</v>
      </c>
    </row>
    <row r="21" spans="2:14" x14ac:dyDescent="0.25">
      <c r="B21" s="195"/>
      <c r="C21" s="15" t="s">
        <v>248</v>
      </c>
      <c r="D21" s="9" t="s">
        <v>249</v>
      </c>
      <c r="E21" s="102">
        <v>150</v>
      </c>
      <c r="F21" s="28">
        <v>180</v>
      </c>
      <c r="G21" s="17">
        <f>E21*0.05/100</f>
        <v>7.4999999999999997E-2</v>
      </c>
      <c r="H21" s="30">
        <f>F21*0.05/100</f>
        <v>0.09</v>
      </c>
      <c r="I21" s="17">
        <f>E21*0.05/100</f>
        <v>7.4999999999999997E-2</v>
      </c>
      <c r="J21" s="30">
        <f>F21*0.05/100</f>
        <v>0.09</v>
      </c>
      <c r="K21" s="17">
        <f>E21*5.55/100</f>
        <v>8.3249999999999993</v>
      </c>
      <c r="L21" s="30">
        <f>F21*5.55/100</f>
        <v>9.99</v>
      </c>
      <c r="M21" s="17">
        <f t="shared" si="8"/>
        <v>34.274999999999999</v>
      </c>
      <c r="N21" s="32">
        <f t="shared" si="8"/>
        <v>41.13</v>
      </c>
    </row>
    <row r="22" spans="2:14" x14ac:dyDescent="0.25">
      <c r="B22" s="195"/>
      <c r="C22" s="16" t="s">
        <v>139</v>
      </c>
      <c r="D22" s="6" t="s">
        <v>22</v>
      </c>
      <c r="E22" s="65">
        <v>25</v>
      </c>
      <c r="F22" s="62">
        <v>30</v>
      </c>
      <c r="G22" s="17">
        <f>E22*8/100</f>
        <v>2</v>
      </c>
      <c r="H22" s="30">
        <f>F22*8/100</f>
        <v>2.4</v>
      </c>
      <c r="I22" s="17">
        <f>E22*1.5/100</f>
        <v>0.375</v>
      </c>
      <c r="J22" s="30">
        <f>F22*1.5/100</f>
        <v>0.45</v>
      </c>
      <c r="K22" s="17">
        <f>E22*40.1/100</f>
        <v>10.025</v>
      </c>
      <c r="L22" s="30">
        <f>F22*40.1/100</f>
        <v>12.03</v>
      </c>
      <c r="M22" s="17">
        <f t="shared" si="8"/>
        <v>51.475000000000001</v>
      </c>
      <c r="N22" s="32">
        <f t="shared" si="8"/>
        <v>61.769999999999996</v>
      </c>
    </row>
    <row r="23" spans="2:14" x14ac:dyDescent="0.25">
      <c r="B23" s="195"/>
      <c r="C23" s="16" t="s">
        <v>137</v>
      </c>
      <c r="D23" s="6" t="s">
        <v>138</v>
      </c>
      <c r="E23" s="65">
        <v>25</v>
      </c>
      <c r="F23" s="62">
        <v>30</v>
      </c>
      <c r="G23" s="17">
        <f>E23*7.6/100</f>
        <v>1.9</v>
      </c>
      <c r="H23" s="30">
        <f>F23*7.6/100</f>
        <v>2.2799999999999998</v>
      </c>
      <c r="I23" s="17">
        <f>E23*0.8/100</f>
        <v>0.2</v>
      </c>
      <c r="J23" s="30">
        <f>F23*0.8/100</f>
        <v>0.24</v>
      </c>
      <c r="K23" s="17">
        <f>E23*49.2/100</f>
        <v>12.3</v>
      </c>
      <c r="L23" s="30">
        <f>F23*49.2/100</f>
        <v>14.76</v>
      </c>
      <c r="M23" s="17">
        <f t="shared" si="8"/>
        <v>58.6</v>
      </c>
      <c r="N23" s="32">
        <f t="shared" si="8"/>
        <v>70.319999999999993</v>
      </c>
    </row>
    <row r="24" spans="2:14" x14ac:dyDescent="0.25">
      <c r="B24" s="195"/>
      <c r="C24" s="16"/>
      <c r="D24" s="4" t="s">
        <v>14</v>
      </c>
      <c r="E24" s="21">
        <f t="shared" ref="E24:N24" si="9">SUM(E17:E23)</f>
        <v>580</v>
      </c>
      <c r="F24" s="35">
        <f t="shared" si="9"/>
        <v>740</v>
      </c>
      <c r="G24" s="7">
        <f t="shared" si="9"/>
        <v>24.06</v>
      </c>
      <c r="H24" s="31">
        <f t="shared" si="9"/>
        <v>31.977999999999998</v>
      </c>
      <c r="I24" s="7">
        <f t="shared" si="9"/>
        <v>29.389999999999997</v>
      </c>
      <c r="J24" s="31">
        <f t="shared" si="9"/>
        <v>40.230000000000011</v>
      </c>
      <c r="K24" s="7">
        <f t="shared" si="9"/>
        <v>60.073999999999998</v>
      </c>
      <c r="L24" s="31">
        <f t="shared" si="9"/>
        <v>75.484999999999999</v>
      </c>
      <c r="M24" s="7">
        <f t="shared" si="9"/>
        <v>601.04599999999994</v>
      </c>
      <c r="N24" s="33">
        <f t="shared" si="9"/>
        <v>791.92200000000003</v>
      </c>
    </row>
    <row r="25" spans="2:14" x14ac:dyDescent="0.25">
      <c r="B25" s="195"/>
      <c r="C25" s="191" t="s">
        <v>84</v>
      </c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3"/>
    </row>
    <row r="26" spans="2:14" x14ac:dyDescent="0.25">
      <c r="B26" s="195"/>
      <c r="C26" s="15" t="s">
        <v>251</v>
      </c>
      <c r="D26" s="9" t="s">
        <v>252</v>
      </c>
      <c r="E26" s="102">
        <v>150</v>
      </c>
      <c r="F26" s="28">
        <v>180</v>
      </c>
      <c r="G26" s="17">
        <f>E26*0.36/100</f>
        <v>0.54</v>
      </c>
      <c r="H26" s="30">
        <f>F26*0.36/100</f>
        <v>0.64800000000000002</v>
      </c>
      <c r="I26" s="17">
        <f>E26*0/100</f>
        <v>0</v>
      </c>
      <c r="J26" s="30">
        <f>F26*0/100</f>
        <v>0</v>
      </c>
      <c r="K26" s="17">
        <f>E26*18.96/100</f>
        <v>28.44</v>
      </c>
      <c r="L26" s="30">
        <f>F26*18.96/100</f>
        <v>34.128</v>
      </c>
      <c r="M26" s="17">
        <f t="shared" ref="M26:N26" si="10">G26*4+I26*9+K26*4</f>
        <v>115.92</v>
      </c>
      <c r="N26" s="32">
        <f t="shared" si="10"/>
        <v>139.10400000000001</v>
      </c>
    </row>
    <row r="27" spans="2:14" x14ac:dyDescent="0.25">
      <c r="B27" s="195"/>
      <c r="C27" s="16" t="s">
        <v>137</v>
      </c>
      <c r="D27" s="6" t="s">
        <v>138</v>
      </c>
      <c r="E27" s="65">
        <v>25</v>
      </c>
      <c r="F27" s="62">
        <v>30</v>
      </c>
      <c r="G27" s="17">
        <f>E27*7.6/100</f>
        <v>1.9</v>
      </c>
      <c r="H27" s="30">
        <f>F27*7.6/100</f>
        <v>2.2799999999999998</v>
      </c>
      <c r="I27" s="17">
        <f>E27*0.8/100</f>
        <v>0.2</v>
      </c>
      <c r="J27" s="30">
        <f>F27*0.8/100</f>
        <v>0.24</v>
      </c>
      <c r="K27" s="17">
        <f>E27*49.2/100</f>
        <v>12.3</v>
      </c>
      <c r="L27" s="30">
        <f>F27*49.2/100</f>
        <v>14.76</v>
      </c>
      <c r="M27" s="17">
        <f t="shared" ref="M27:N28" si="11">G27*4+I27*9+K27*4</f>
        <v>58.6</v>
      </c>
      <c r="N27" s="32">
        <f t="shared" si="11"/>
        <v>70.319999999999993</v>
      </c>
    </row>
    <row r="28" spans="2:14" x14ac:dyDescent="0.25">
      <c r="B28" s="195"/>
      <c r="C28" s="15" t="s">
        <v>45</v>
      </c>
      <c r="D28" s="9" t="s">
        <v>16</v>
      </c>
      <c r="E28" s="98">
        <v>150</v>
      </c>
      <c r="F28" s="28">
        <v>180</v>
      </c>
      <c r="G28" s="17">
        <f>E28*0.2/200</f>
        <v>0.15</v>
      </c>
      <c r="H28" s="30">
        <f>F28*0.2/200</f>
        <v>0.18</v>
      </c>
      <c r="I28" s="17">
        <f t="shared" ref="I28:J28" si="12">E28*0.1/200</f>
        <v>7.4999999999999997E-2</v>
      </c>
      <c r="J28" s="30">
        <f t="shared" si="12"/>
        <v>0.09</v>
      </c>
      <c r="K28" s="17">
        <f>E28*9.3/200</f>
        <v>6.9749999999999996</v>
      </c>
      <c r="L28" s="30">
        <f>F28*9.3/200</f>
        <v>8.370000000000001</v>
      </c>
      <c r="M28" s="17">
        <f t="shared" si="11"/>
        <v>29.174999999999997</v>
      </c>
      <c r="N28" s="32">
        <f t="shared" si="11"/>
        <v>35.010000000000005</v>
      </c>
    </row>
    <row r="29" spans="2:14" x14ac:dyDescent="0.25">
      <c r="B29" s="195"/>
      <c r="C29" s="44"/>
      <c r="D29" s="51" t="s">
        <v>81</v>
      </c>
      <c r="E29" s="52">
        <f t="shared" ref="E29:N29" si="13">SUM(E26:E28)</f>
        <v>325</v>
      </c>
      <c r="F29" s="53">
        <f t="shared" si="13"/>
        <v>390</v>
      </c>
      <c r="G29" s="54">
        <f t="shared" si="13"/>
        <v>2.59</v>
      </c>
      <c r="H29" s="55">
        <f t="shared" si="13"/>
        <v>3.1080000000000001</v>
      </c>
      <c r="I29" s="54">
        <f t="shared" si="13"/>
        <v>0.27500000000000002</v>
      </c>
      <c r="J29" s="55">
        <f t="shared" si="13"/>
        <v>0.32999999999999996</v>
      </c>
      <c r="K29" s="54">
        <f t="shared" si="13"/>
        <v>47.715000000000003</v>
      </c>
      <c r="L29" s="55">
        <f t="shared" si="13"/>
        <v>57.257999999999996</v>
      </c>
      <c r="M29" s="54">
        <f t="shared" si="13"/>
        <v>203.69499999999999</v>
      </c>
      <c r="N29" s="56">
        <f t="shared" si="13"/>
        <v>244.43400000000003</v>
      </c>
    </row>
    <row r="30" spans="2:14" ht="15.75" thickBot="1" x14ac:dyDescent="0.3">
      <c r="B30" s="196"/>
      <c r="C30" s="22"/>
      <c r="D30" s="13" t="s">
        <v>12</v>
      </c>
      <c r="E30" s="18"/>
      <c r="F30" s="45"/>
      <c r="G30" s="14">
        <f t="shared" ref="G30:N30" si="14">G29+G24+G15+G12</f>
        <v>34.871000000000002</v>
      </c>
      <c r="H30" s="36">
        <f t="shared" si="14"/>
        <v>47.795999999999999</v>
      </c>
      <c r="I30" s="14">
        <f t="shared" si="14"/>
        <v>36.76</v>
      </c>
      <c r="J30" s="36">
        <f t="shared" si="14"/>
        <v>51.720000000000013</v>
      </c>
      <c r="K30" s="14">
        <f t="shared" si="14"/>
        <v>160.44900000000001</v>
      </c>
      <c r="L30" s="36">
        <f t="shared" si="14"/>
        <v>205.48299999999998</v>
      </c>
      <c r="M30" s="14">
        <f t="shared" si="14"/>
        <v>1112.1199999999999</v>
      </c>
      <c r="N30" s="38">
        <f t="shared" si="14"/>
        <v>1478.596</v>
      </c>
    </row>
    <row r="33" spans="5:5" x14ac:dyDescent="0.25">
      <c r="E33" s="12" t="s">
        <v>23</v>
      </c>
    </row>
  </sheetData>
  <mergeCells count="15">
    <mergeCell ref="M4:N5"/>
    <mergeCell ref="G5:H5"/>
    <mergeCell ref="I5:J5"/>
    <mergeCell ref="K5:L5"/>
    <mergeCell ref="B3:E3"/>
    <mergeCell ref="B4:B6"/>
    <mergeCell ref="C4:C6"/>
    <mergeCell ref="D4:D6"/>
    <mergeCell ref="E4:F5"/>
    <mergeCell ref="G4:L4"/>
    <mergeCell ref="B7:B30"/>
    <mergeCell ref="C7:N7"/>
    <mergeCell ref="C13:N13"/>
    <mergeCell ref="C16:N16"/>
    <mergeCell ref="C25:N25"/>
  </mergeCells>
  <pageMargins left="0.7" right="0.7" top="0.75" bottom="0.75" header="0.3" footer="0.3"/>
  <pageSetup paperSize="9" scale="9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10</vt:i4>
      </vt:variant>
    </vt:vector>
  </HeadingPairs>
  <TitlesOfParts>
    <vt:vector size="22" baseType="lpstr">
      <vt:lpstr>сводная</vt:lpstr>
      <vt:lpstr>1-пн</vt:lpstr>
      <vt:lpstr>1-вт</vt:lpstr>
      <vt:lpstr>1-ср</vt:lpstr>
      <vt:lpstr>1-чт</vt:lpstr>
      <vt:lpstr>1-пт</vt:lpstr>
      <vt:lpstr>2-пн</vt:lpstr>
      <vt:lpstr>2-вт</vt:lpstr>
      <vt:lpstr>2-ср</vt:lpstr>
      <vt:lpstr>2-чт</vt:lpstr>
      <vt:lpstr>2-пт</vt:lpstr>
      <vt:lpstr>000</vt:lpstr>
      <vt:lpstr>'1-вт'!Область_печати</vt:lpstr>
      <vt:lpstr>'1-пн'!Область_печати</vt:lpstr>
      <vt:lpstr>'1-пт'!Область_печати</vt:lpstr>
      <vt:lpstr>'1-ср'!Область_печати</vt:lpstr>
      <vt:lpstr>'1-чт'!Область_печати</vt:lpstr>
      <vt:lpstr>'2-вт'!Область_печати</vt:lpstr>
      <vt:lpstr>'2-пн'!Область_печати</vt:lpstr>
      <vt:lpstr>'2-пт'!Область_печати</vt:lpstr>
      <vt:lpstr>'2-ср'!Область_печати</vt:lpstr>
      <vt:lpstr>'2-чт'!Область_печати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2024-04-14T05:49:17Z</dcterms:modified>
</cp:coreProperties>
</file>