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19200" windowHeight="11460" tabRatio="863" activeTab="1"/>
  </bookViews>
  <sheets>
    <sheet name="сводная" sheetId="42" r:id="rId1"/>
    <sheet name="1 (пон,вт,ср)" sheetId="43" r:id="rId2"/>
    <sheet name="1 (чт,пт,сб)" sheetId="44" r:id="rId3"/>
    <sheet name="2 (пон,вт,ср)" sheetId="45" r:id="rId4"/>
    <sheet name="2 (чт,пт,сб)" sheetId="46" r:id="rId5"/>
    <sheet name="000" sheetId="29" r:id="rId6"/>
  </sheets>
  <definedNames>
    <definedName name="_xlnm.Print_Area" localSheetId="3">'2 (пон,вт,ср)'!$A$1:$O$50</definedName>
    <definedName name="_xlnm.Print_Area" localSheetId="4">'2 (чт,пт,сб)'!$A$1:$O$51</definedName>
  </definedNames>
  <calcPr calcId="162913"/>
</workbook>
</file>

<file path=xl/calcChain.xml><?xml version="1.0" encoding="utf-8"?>
<calcChain xmlns="http://schemas.openxmlformats.org/spreadsheetml/2006/main">
  <c r="L39" i="46" l="1"/>
  <c r="K39" i="46"/>
  <c r="J39" i="46"/>
  <c r="I39" i="46"/>
  <c r="H39" i="46"/>
  <c r="N39" i="46" s="1"/>
  <c r="G39" i="46"/>
  <c r="M39" i="46" s="1"/>
  <c r="L28" i="46"/>
  <c r="K28" i="46"/>
  <c r="J28" i="46"/>
  <c r="I28" i="46"/>
  <c r="H28" i="46"/>
  <c r="N28" i="46" s="1"/>
  <c r="G28" i="46"/>
  <c r="M28" i="46" s="1"/>
  <c r="L30" i="46"/>
  <c r="K30" i="46"/>
  <c r="J30" i="46"/>
  <c r="I30" i="46"/>
  <c r="H30" i="46"/>
  <c r="N30" i="46" s="1"/>
  <c r="G30" i="46"/>
  <c r="M30" i="46" s="1"/>
  <c r="L26" i="46"/>
  <c r="K26" i="46"/>
  <c r="J26" i="46"/>
  <c r="I26" i="46"/>
  <c r="H26" i="46"/>
  <c r="N26" i="46" s="1"/>
  <c r="G26" i="46"/>
  <c r="M26" i="46" s="1"/>
  <c r="L41" i="45" l="1"/>
  <c r="K41" i="45"/>
  <c r="J41" i="45"/>
  <c r="I41" i="45"/>
  <c r="H41" i="45"/>
  <c r="N41" i="45" s="1"/>
  <c r="G41" i="45"/>
  <c r="M41" i="45" s="1"/>
  <c r="L39" i="44"/>
  <c r="K39" i="44"/>
  <c r="J39" i="44"/>
  <c r="I39" i="44"/>
  <c r="H39" i="44"/>
  <c r="N39" i="44" s="1"/>
  <c r="G39" i="44"/>
  <c r="M39" i="44" s="1"/>
  <c r="L27" i="44"/>
  <c r="K27" i="44"/>
  <c r="J27" i="44"/>
  <c r="I27" i="44"/>
  <c r="H27" i="44"/>
  <c r="N27" i="44" s="1"/>
  <c r="G27" i="44"/>
  <c r="M27" i="44" s="1"/>
  <c r="L13" i="44"/>
  <c r="K13" i="44"/>
  <c r="J13" i="44"/>
  <c r="I13" i="44"/>
  <c r="H13" i="44"/>
  <c r="N13" i="44" s="1"/>
  <c r="G13" i="44"/>
  <c r="M13" i="44" s="1"/>
  <c r="L12" i="44" l="1"/>
  <c r="K12" i="44"/>
  <c r="J12" i="44"/>
  <c r="I12" i="44"/>
  <c r="H12" i="44"/>
  <c r="N12" i="44" s="1"/>
  <c r="G12" i="44"/>
  <c r="M12" i="44" s="1"/>
  <c r="L21" i="46" l="1"/>
  <c r="K21" i="46"/>
  <c r="J21" i="46"/>
  <c r="I21" i="46"/>
  <c r="H21" i="46"/>
  <c r="N21" i="46" s="1"/>
  <c r="G21" i="46"/>
  <c r="M21" i="46" s="1"/>
  <c r="L17" i="46"/>
  <c r="K17" i="46"/>
  <c r="J17" i="46"/>
  <c r="I17" i="46"/>
  <c r="H17" i="46"/>
  <c r="N17" i="46" s="1"/>
  <c r="G17" i="46"/>
  <c r="M17" i="46" s="1"/>
  <c r="L16" i="46"/>
  <c r="K16" i="46"/>
  <c r="J16" i="46"/>
  <c r="I16" i="46"/>
  <c r="H16" i="46"/>
  <c r="N16" i="46" s="1"/>
  <c r="G16" i="46"/>
  <c r="M16" i="46" s="1"/>
  <c r="L15" i="46"/>
  <c r="K15" i="46"/>
  <c r="J15" i="46"/>
  <c r="I15" i="46"/>
  <c r="H15" i="46"/>
  <c r="N15" i="46" s="1"/>
  <c r="G15" i="46"/>
  <c r="M15" i="46" s="1"/>
  <c r="L14" i="46"/>
  <c r="K14" i="46"/>
  <c r="J14" i="46"/>
  <c r="I14" i="46"/>
  <c r="H14" i="46"/>
  <c r="N14" i="46" s="1"/>
  <c r="G14" i="46"/>
  <c r="M14" i="46" s="1"/>
  <c r="L13" i="46"/>
  <c r="K13" i="46"/>
  <c r="J13" i="46"/>
  <c r="I13" i="46"/>
  <c r="H13" i="46"/>
  <c r="N13" i="46" s="1"/>
  <c r="G13" i="46"/>
  <c r="M13" i="46" s="1"/>
  <c r="L12" i="46"/>
  <c r="K12" i="46"/>
  <c r="J12" i="46"/>
  <c r="I12" i="46"/>
  <c r="H12" i="46"/>
  <c r="N12" i="46" s="1"/>
  <c r="G12" i="46"/>
  <c r="M12" i="46" s="1"/>
  <c r="L7" i="46"/>
  <c r="K7" i="46"/>
  <c r="J7" i="46"/>
  <c r="I7" i="46"/>
  <c r="H7" i="46"/>
  <c r="N7" i="46" s="1"/>
  <c r="G7" i="46"/>
  <c r="M7" i="46" s="1"/>
  <c r="L36" i="45"/>
  <c r="K36" i="45"/>
  <c r="J36" i="45"/>
  <c r="I36" i="45"/>
  <c r="H36" i="45"/>
  <c r="N36" i="45" s="1"/>
  <c r="G36" i="45"/>
  <c r="M36" i="45" s="1"/>
  <c r="L21" i="45"/>
  <c r="K21" i="45"/>
  <c r="J21" i="45"/>
  <c r="I21" i="45"/>
  <c r="H21" i="45"/>
  <c r="N21" i="45" s="1"/>
  <c r="G21" i="45"/>
  <c r="M21" i="45" s="1"/>
  <c r="L32" i="45"/>
  <c r="K32" i="45"/>
  <c r="J32" i="45"/>
  <c r="I32" i="45"/>
  <c r="H32" i="45"/>
  <c r="N32" i="45" s="1"/>
  <c r="G32" i="45"/>
  <c r="M32" i="45" s="1"/>
  <c r="L31" i="45"/>
  <c r="K31" i="45"/>
  <c r="J31" i="45"/>
  <c r="I31" i="45"/>
  <c r="H31" i="45"/>
  <c r="N31" i="45" s="1"/>
  <c r="G31" i="45"/>
  <c r="M31" i="45" s="1"/>
  <c r="L30" i="45"/>
  <c r="K30" i="45"/>
  <c r="J30" i="45"/>
  <c r="I30" i="45"/>
  <c r="H30" i="45"/>
  <c r="N30" i="45" s="1"/>
  <c r="G30" i="45"/>
  <c r="M30" i="45" s="1"/>
  <c r="L29" i="45"/>
  <c r="K29" i="45"/>
  <c r="J29" i="45"/>
  <c r="I29" i="45"/>
  <c r="H29" i="45"/>
  <c r="N29" i="45" s="1"/>
  <c r="G29" i="45"/>
  <c r="M29" i="45" s="1"/>
  <c r="L28" i="45"/>
  <c r="K28" i="45"/>
  <c r="J28" i="45"/>
  <c r="I28" i="45"/>
  <c r="H28" i="45"/>
  <c r="N28" i="45" s="1"/>
  <c r="G28" i="45"/>
  <c r="M28" i="45" s="1"/>
  <c r="L27" i="45"/>
  <c r="K27" i="45"/>
  <c r="J27" i="45"/>
  <c r="I27" i="45"/>
  <c r="H27" i="45"/>
  <c r="N27" i="45" s="1"/>
  <c r="G27" i="45"/>
  <c r="M27" i="45" s="1"/>
  <c r="L26" i="45"/>
  <c r="K26" i="45"/>
  <c r="J26" i="45"/>
  <c r="I26" i="45"/>
  <c r="H26" i="45"/>
  <c r="N26" i="45" s="1"/>
  <c r="G26" i="45"/>
  <c r="M26" i="45" s="1"/>
  <c r="L7" i="45"/>
  <c r="K7" i="45"/>
  <c r="J7" i="45"/>
  <c r="I7" i="45"/>
  <c r="H7" i="45"/>
  <c r="N7" i="45" s="1"/>
  <c r="G7" i="45"/>
  <c r="M7" i="45" s="1"/>
  <c r="L22" i="44"/>
  <c r="K22" i="44"/>
  <c r="J22" i="44"/>
  <c r="I22" i="44"/>
  <c r="H22" i="44"/>
  <c r="N22" i="44" s="1"/>
  <c r="G22" i="44"/>
  <c r="M22" i="44" s="1"/>
  <c r="L32" i="44"/>
  <c r="K32" i="44"/>
  <c r="J32" i="44"/>
  <c r="I32" i="44"/>
  <c r="H32" i="44"/>
  <c r="N32" i="44" s="1"/>
  <c r="G32" i="44"/>
  <c r="M32" i="44" s="1"/>
  <c r="L31" i="44"/>
  <c r="K31" i="44"/>
  <c r="J31" i="44"/>
  <c r="I31" i="44"/>
  <c r="H31" i="44"/>
  <c r="N31" i="44" s="1"/>
  <c r="G31" i="44"/>
  <c r="M31" i="44" s="1"/>
  <c r="L30" i="44"/>
  <c r="K30" i="44"/>
  <c r="J30" i="44"/>
  <c r="I30" i="44"/>
  <c r="H30" i="44"/>
  <c r="N30" i="44" s="1"/>
  <c r="G30" i="44"/>
  <c r="M30" i="44" s="1"/>
  <c r="L29" i="44"/>
  <c r="K29" i="44"/>
  <c r="J29" i="44"/>
  <c r="I29" i="44"/>
  <c r="H29" i="44"/>
  <c r="N29" i="44" s="1"/>
  <c r="G29" i="44"/>
  <c r="M29" i="44" s="1"/>
  <c r="L28" i="44"/>
  <c r="K28" i="44"/>
  <c r="J28" i="44"/>
  <c r="I28" i="44"/>
  <c r="H28" i="44"/>
  <c r="N28" i="44" s="1"/>
  <c r="G28" i="44"/>
  <c r="M28" i="44" s="1"/>
  <c r="L18" i="44"/>
  <c r="K18" i="44"/>
  <c r="J18" i="44"/>
  <c r="I18" i="44"/>
  <c r="H18" i="44"/>
  <c r="N18" i="44" s="1"/>
  <c r="G18" i="44"/>
  <c r="M18" i="44" s="1"/>
  <c r="L17" i="44"/>
  <c r="K17" i="44"/>
  <c r="J17" i="44"/>
  <c r="I17" i="44"/>
  <c r="H17" i="44"/>
  <c r="N17" i="44" s="1"/>
  <c r="G17" i="44"/>
  <c r="M17" i="44" s="1"/>
  <c r="L16" i="44"/>
  <c r="K16" i="44"/>
  <c r="J16" i="44"/>
  <c r="I16" i="44"/>
  <c r="H16" i="44"/>
  <c r="N16" i="44" s="1"/>
  <c r="G16" i="44"/>
  <c r="M16" i="44" s="1"/>
  <c r="L15" i="44"/>
  <c r="K15" i="44"/>
  <c r="J15" i="44"/>
  <c r="I15" i="44"/>
  <c r="H15" i="44"/>
  <c r="N15" i="44" s="1"/>
  <c r="G15" i="44"/>
  <c r="M15" i="44" s="1"/>
  <c r="L14" i="44"/>
  <c r="K14" i="44"/>
  <c r="J14" i="44"/>
  <c r="I14" i="44"/>
  <c r="H14" i="44"/>
  <c r="N14" i="44" s="1"/>
  <c r="G14" i="44"/>
  <c r="M14" i="44" s="1"/>
  <c r="L7" i="44"/>
  <c r="K7" i="44"/>
  <c r="J7" i="44"/>
  <c r="I7" i="44"/>
  <c r="H7" i="44"/>
  <c r="N7" i="44" s="1"/>
  <c r="G7" i="44"/>
  <c r="M7" i="44" s="1"/>
  <c r="L67" i="43"/>
  <c r="K67" i="43"/>
  <c r="J67" i="43"/>
  <c r="I67" i="43"/>
  <c r="H67" i="43"/>
  <c r="N67" i="43" s="1"/>
  <c r="G67" i="43"/>
  <c r="M67" i="43" s="1"/>
  <c r="L63" i="43"/>
  <c r="K63" i="43"/>
  <c r="J63" i="43"/>
  <c r="I63" i="43"/>
  <c r="H63" i="43"/>
  <c r="N63" i="43" s="1"/>
  <c r="G63" i="43"/>
  <c r="M63" i="43" s="1"/>
  <c r="L62" i="43"/>
  <c r="K62" i="43"/>
  <c r="J62" i="43"/>
  <c r="I62" i="43"/>
  <c r="H62" i="43"/>
  <c r="N62" i="43" s="1"/>
  <c r="G62" i="43"/>
  <c r="M62" i="43" s="1"/>
  <c r="L61" i="43"/>
  <c r="K61" i="43"/>
  <c r="J61" i="43"/>
  <c r="I61" i="43"/>
  <c r="H61" i="43"/>
  <c r="N61" i="43" s="1"/>
  <c r="G61" i="43"/>
  <c r="M61" i="43" s="1"/>
  <c r="L60" i="43"/>
  <c r="K60" i="43"/>
  <c r="J60" i="43"/>
  <c r="I60" i="43"/>
  <c r="H60" i="43"/>
  <c r="N60" i="43" s="1"/>
  <c r="G60" i="43"/>
  <c r="M60" i="43" s="1"/>
  <c r="L59" i="43"/>
  <c r="K59" i="43"/>
  <c r="J59" i="43"/>
  <c r="I59" i="43"/>
  <c r="H59" i="43"/>
  <c r="N59" i="43" s="1"/>
  <c r="G59" i="43"/>
  <c r="M59" i="43" s="1"/>
  <c r="L58" i="43"/>
  <c r="K58" i="43"/>
  <c r="J58" i="43"/>
  <c r="I58" i="43"/>
  <c r="H58" i="43"/>
  <c r="N58" i="43" s="1"/>
  <c r="G58" i="43"/>
  <c r="M58" i="43" s="1"/>
  <c r="L57" i="43"/>
  <c r="K57" i="43"/>
  <c r="J57" i="43"/>
  <c r="I57" i="43"/>
  <c r="H57" i="43"/>
  <c r="N57" i="43" s="1"/>
  <c r="G57" i="43"/>
  <c r="M57" i="43" s="1"/>
  <c r="L52" i="43"/>
  <c r="K52" i="43"/>
  <c r="J52" i="43"/>
  <c r="I52" i="43"/>
  <c r="H52" i="43"/>
  <c r="N52" i="43" s="1"/>
  <c r="G52" i="43"/>
  <c r="M52" i="43" s="1"/>
  <c r="L48" i="43"/>
  <c r="K48" i="43"/>
  <c r="J48" i="43"/>
  <c r="I48" i="43"/>
  <c r="H48" i="43"/>
  <c r="N48" i="43" s="1"/>
  <c r="G48" i="43"/>
  <c r="M48" i="43" s="1"/>
  <c r="L47" i="43"/>
  <c r="K47" i="43"/>
  <c r="J47" i="43"/>
  <c r="I47" i="43"/>
  <c r="H47" i="43"/>
  <c r="N47" i="43" s="1"/>
  <c r="G47" i="43"/>
  <c r="M47" i="43" s="1"/>
  <c r="L46" i="43"/>
  <c r="K46" i="43"/>
  <c r="J46" i="43"/>
  <c r="I46" i="43"/>
  <c r="H46" i="43"/>
  <c r="N46" i="43" s="1"/>
  <c r="G46" i="43"/>
  <c r="M46" i="43" s="1"/>
  <c r="L45" i="43"/>
  <c r="K45" i="43"/>
  <c r="J45" i="43"/>
  <c r="I45" i="43"/>
  <c r="H45" i="43"/>
  <c r="N45" i="43" s="1"/>
  <c r="G45" i="43"/>
  <c r="M45" i="43" s="1"/>
  <c r="L44" i="43"/>
  <c r="K44" i="43"/>
  <c r="J44" i="43"/>
  <c r="I44" i="43"/>
  <c r="H44" i="43"/>
  <c r="N44" i="43" s="1"/>
  <c r="G44" i="43"/>
  <c r="M44" i="43" s="1"/>
  <c r="L43" i="43"/>
  <c r="K43" i="43"/>
  <c r="J43" i="43"/>
  <c r="I43" i="43"/>
  <c r="H43" i="43"/>
  <c r="N43" i="43" s="1"/>
  <c r="G43" i="43"/>
  <c r="M43" i="43" s="1"/>
  <c r="L42" i="43"/>
  <c r="K42" i="43"/>
  <c r="J42" i="43"/>
  <c r="I42" i="43"/>
  <c r="H42" i="43"/>
  <c r="N42" i="43" s="1"/>
  <c r="G42" i="43"/>
  <c r="M42" i="43" s="1"/>
  <c r="L41" i="43"/>
  <c r="K41" i="43"/>
  <c r="J41" i="43"/>
  <c r="I41" i="43"/>
  <c r="H41" i="43"/>
  <c r="N41" i="43" s="1"/>
  <c r="G41" i="43"/>
  <c r="M41" i="43" s="1"/>
  <c r="L36" i="43"/>
  <c r="K36" i="43"/>
  <c r="J36" i="43"/>
  <c r="I36" i="43"/>
  <c r="H36" i="43"/>
  <c r="N36" i="43" s="1"/>
  <c r="G36" i="43"/>
  <c r="M36" i="43" s="1"/>
  <c r="F33" i="43"/>
  <c r="E33" i="43"/>
  <c r="L32" i="43"/>
  <c r="K32" i="43"/>
  <c r="J32" i="43"/>
  <c r="I32" i="43"/>
  <c r="H32" i="43"/>
  <c r="N32" i="43" s="1"/>
  <c r="G32" i="43"/>
  <c r="M32" i="43" s="1"/>
  <c r="L31" i="43"/>
  <c r="K31" i="43"/>
  <c r="J31" i="43"/>
  <c r="I31" i="43"/>
  <c r="H31" i="43"/>
  <c r="N31" i="43" s="1"/>
  <c r="G31" i="43"/>
  <c r="M31" i="43" s="1"/>
  <c r="L30" i="43"/>
  <c r="K30" i="43"/>
  <c r="J30" i="43"/>
  <c r="I30" i="43"/>
  <c r="H30" i="43"/>
  <c r="N30" i="43" s="1"/>
  <c r="G30" i="43"/>
  <c r="M30" i="43" s="1"/>
  <c r="L29" i="43"/>
  <c r="K29" i="43"/>
  <c r="J29" i="43"/>
  <c r="I29" i="43"/>
  <c r="H29" i="43"/>
  <c r="N29" i="43" s="1"/>
  <c r="G29" i="43"/>
  <c r="M29" i="43" s="1"/>
  <c r="L28" i="43"/>
  <c r="K28" i="43"/>
  <c r="J28" i="43"/>
  <c r="I28" i="43"/>
  <c r="H28" i="43"/>
  <c r="N28" i="43" s="1"/>
  <c r="G28" i="43"/>
  <c r="M28" i="43" s="1"/>
  <c r="L27" i="43"/>
  <c r="K27" i="43"/>
  <c r="J27" i="43"/>
  <c r="I27" i="43"/>
  <c r="H27" i="43"/>
  <c r="N27" i="43" s="1"/>
  <c r="G27" i="43"/>
  <c r="M27" i="43" s="1"/>
  <c r="L26" i="43"/>
  <c r="K26" i="43"/>
  <c r="J26" i="43"/>
  <c r="I26" i="43"/>
  <c r="H26" i="43"/>
  <c r="N26" i="43" s="1"/>
  <c r="G26" i="43"/>
  <c r="M26" i="43" s="1"/>
  <c r="L33" i="43"/>
  <c r="K33" i="43"/>
  <c r="J33" i="43"/>
  <c r="I33" i="43"/>
  <c r="H33" i="43"/>
  <c r="G33" i="43"/>
  <c r="L21" i="43"/>
  <c r="K21" i="43"/>
  <c r="J21" i="43"/>
  <c r="I21" i="43"/>
  <c r="H21" i="43"/>
  <c r="N21" i="43" s="1"/>
  <c r="G21" i="43"/>
  <c r="M21" i="43" s="1"/>
  <c r="M33" i="43" l="1"/>
  <c r="N33" i="43"/>
  <c r="L42" i="45" l="1"/>
  <c r="K42" i="45"/>
  <c r="J42" i="45"/>
  <c r="I42" i="45"/>
  <c r="H42" i="45"/>
  <c r="N42" i="45" s="1"/>
  <c r="G42" i="45"/>
  <c r="M42" i="45" s="1"/>
  <c r="L37" i="44"/>
  <c r="K37" i="44"/>
  <c r="J37" i="44"/>
  <c r="I37" i="44"/>
  <c r="H37" i="44"/>
  <c r="N37" i="44" s="1"/>
  <c r="G37" i="44"/>
  <c r="M37" i="44" s="1"/>
  <c r="L13" i="45"/>
  <c r="K13" i="45"/>
  <c r="J13" i="45"/>
  <c r="I13" i="45"/>
  <c r="H13" i="45"/>
  <c r="N13" i="45" s="1"/>
  <c r="G13" i="45"/>
  <c r="M13" i="45" s="1"/>
  <c r="L38" i="46" l="1"/>
  <c r="K38" i="46"/>
  <c r="J38" i="46"/>
  <c r="I38" i="46"/>
  <c r="H38" i="46"/>
  <c r="N38" i="46" s="1"/>
  <c r="G38" i="46"/>
  <c r="M38" i="46" s="1"/>
  <c r="L37" i="46"/>
  <c r="K37" i="46"/>
  <c r="J37" i="46"/>
  <c r="I37" i="46"/>
  <c r="H37" i="46"/>
  <c r="N37" i="46" s="1"/>
  <c r="G37" i="46"/>
  <c r="M37" i="46" s="1"/>
  <c r="L29" i="46"/>
  <c r="K29" i="46"/>
  <c r="J29" i="46"/>
  <c r="I29" i="46"/>
  <c r="H29" i="46"/>
  <c r="N29" i="46" s="1"/>
  <c r="G29" i="46"/>
  <c r="M29" i="46" s="1"/>
  <c r="L27" i="46"/>
  <c r="K27" i="46"/>
  <c r="J27" i="46"/>
  <c r="I27" i="46"/>
  <c r="H27" i="46"/>
  <c r="N27" i="46" s="1"/>
  <c r="G27" i="46"/>
  <c r="M27" i="46" s="1"/>
  <c r="L23" i="46"/>
  <c r="K23" i="46"/>
  <c r="J23" i="46"/>
  <c r="I23" i="46"/>
  <c r="H23" i="46"/>
  <c r="N23" i="46" s="1"/>
  <c r="G23" i="46"/>
  <c r="M23" i="46" s="1"/>
  <c r="L9" i="46"/>
  <c r="K9" i="46"/>
  <c r="J9" i="46"/>
  <c r="I9" i="46"/>
  <c r="H9" i="46"/>
  <c r="N9" i="46" s="1"/>
  <c r="G9" i="46"/>
  <c r="M9" i="46" s="1"/>
  <c r="L45" i="45"/>
  <c r="K45" i="45"/>
  <c r="J45" i="45"/>
  <c r="I45" i="45"/>
  <c r="H45" i="45"/>
  <c r="N45" i="45" s="1"/>
  <c r="G45" i="45"/>
  <c r="M45" i="45" s="1"/>
  <c r="L43" i="45"/>
  <c r="K43" i="45"/>
  <c r="J43" i="45"/>
  <c r="I43" i="45"/>
  <c r="H43" i="45"/>
  <c r="N43" i="45" s="1"/>
  <c r="G43" i="45"/>
  <c r="M43" i="45" s="1"/>
  <c r="L44" i="45"/>
  <c r="K44" i="45"/>
  <c r="J44" i="45"/>
  <c r="I44" i="45"/>
  <c r="H44" i="45"/>
  <c r="N44" i="45" s="1"/>
  <c r="G44" i="45"/>
  <c r="M44" i="45" s="1"/>
  <c r="L38" i="45" l="1"/>
  <c r="K38" i="45"/>
  <c r="J38" i="45"/>
  <c r="I38" i="45"/>
  <c r="H38" i="45"/>
  <c r="N38" i="45" s="1"/>
  <c r="G38" i="45"/>
  <c r="M38" i="45" s="1"/>
  <c r="L15" i="45" l="1"/>
  <c r="K15" i="45"/>
  <c r="J15" i="45"/>
  <c r="I15" i="45"/>
  <c r="H15" i="45"/>
  <c r="N15" i="45" s="1"/>
  <c r="G15" i="45"/>
  <c r="M15" i="45" s="1"/>
  <c r="L14" i="45"/>
  <c r="K14" i="45"/>
  <c r="J14" i="45"/>
  <c r="I14" i="45"/>
  <c r="H14" i="45"/>
  <c r="N14" i="45" s="1"/>
  <c r="G14" i="45"/>
  <c r="M14" i="45" s="1"/>
  <c r="L12" i="45"/>
  <c r="K12" i="45"/>
  <c r="J12" i="45"/>
  <c r="I12" i="45"/>
  <c r="H12" i="45"/>
  <c r="N12" i="45" s="1"/>
  <c r="G12" i="45"/>
  <c r="M12" i="45" s="1"/>
  <c r="L40" i="44"/>
  <c r="K40" i="44"/>
  <c r="J40" i="44"/>
  <c r="I40" i="44"/>
  <c r="H40" i="44"/>
  <c r="N40" i="44" s="1"/>
  <c r="G40" i="44"/>
  <c r="M40" i="44" s="1"/>
  <c r="L38" i="44"/>
  <c r="K38" i="44"/>
  <c r="J38" i="44"/>
  <c r="I38" i="44"/>
  <c r="H38" i="44"/>
  <c r="N38" i="44" s="1"/>
  <c r="G38" i="44"/>
  <c r="M38" i="44" s="1"/>
  <c r="L36" i="44"/>
  <c r="K36" i="44"/>
  <c r="J36" i="44"/>
  <c r="I36" i="44"/>
  <c r="H36" i="44"/>
  <c r="N36" i="44" s="1"/>
  <c r="G36" i="44"/>
  <c r="M36" i="44" s="1"/>
  <c r="L24" i="44"/>
  <c r="K24" i="44"/>
  <c r="J24" i="44"/>
  <c r="I24" i="44"/>
  <c r="H24" i="44"/>
  <c r="N24" i="44" s="1"/>
  <c r="G24" i="44"/>
  <c r="M24" i="44" s="1"/>
  <c r="L54" i="43"/>
  <c r="K54" i="43"/>
  <c r="J54" i="43"/>
  <c r="I54" i="43"/>
  <c r="H54" i="43"/>
  <c r="N54" i="43" s="1"/>
  <c r="G54" i="43"/>
  <c r="M54" i="43" s="1"/>
  <c r="L31" i="46" l="1"/>
  <c r="K31" i="46"/>
  <c r="J31" i="46"/>
  <c r="I31" i="46"/>
  <c r="H31" i="46"/>
  <c r="N31" i="46" s="1"/>
  <c r="G31" i="46"/>
  <c r="M31" i="46" s="1"/>
  <c r="L23" i="45"/>
  <c r="K23" i="45"/>
  <c r="J23" i="45"/>
  <c r="I23" i="45"/>
  <c r="H23" i="45"/>
  <c r="N23" i="45" s="1"/>
  <c r="G23" i="45"/>
  <c r="M23" i="45" s="1"/>
  <c r="L9" i="45"/>
  <c r="K9" i="45"/>
  <c r="J9" i="45"/>
  <c r="I9" i="45"/>
  <c r="H9" i="45"/>
  <c r="N9" i="45" s="1"/>
  <c r="G9" i="45"/>
  <c r="M9" i="45" s="1"/>
  <c r="E49" i="43" l="1"/>
  <c r="L38" i="43"/>
  <c r="K38" i="43"/>
  <c r="J38" i="43"/>
  <c r="I38" i="43"/>
  <c r="H38" i="43"/>
  <c r="N38" i="43" s="1"/>
  <c r="G38" i="43"/>
  <c r="M38" i="43" s="1"/>
  <c r="L37" i="43"/>
  <c r="K37" i="43"/>
  <c r="J37" i="43"/>
  <c r="I37" i="43"/>
  <c r="H37" i="43"/>
  <c r="N37" i="43" s="1"/>
  <c r="G37" i="43"/>
  <c r="M37" i="43" s="1"/>
  <c r="F24" i="43"/>
  <c r="E24" i="43"/>
  <c r="L23" i="43"/>
  <c r="K23" i="43"/>
  <c r="J23" i="43"/>
  <c r="I23" i="43"/>
  <c r="H23" i="43"/>
  <c r="N23" i="43" s="1"/>
  <c r="G23" i="43"/>
  <c r="M23" i="43" s="1"/>
  <c r="F33" i="45" l="1"/>
  <c r="E33" i="45"/>
  <c r="L9" i="44" l="1"/>
  <c r="K9" i="44"/>
  <c r="J9" i="44"/>
  <c r="I9" i="44"/>
  <c r="H9" i="44"/>
  <c r="N9" i="44" s="1"/>
  <c r="G9" i="44"/>
  <c r="M9" i="44" s="1"/>
  <c r="L33" i="46" l="1"/>
  <c r="K33" i="46"/>
  <c r="J33" i="46"/>
  <c r="I33" i="46"/>
  <c r="H33" i="46"/>
  <c r="N33" i="46" s="1"/>
  <c r="G33" i="46"/>
  <c r="M33" i="46" s="1"/>
  <c r="L32" i="46"/>
  <c r="K32" i="46"/>
  <c r="J32" i="46"/>
  <c r="I32" i="46"/>
  <c r="H32" i="46"/>
  <c r="N32" i="46" s="1"/>
  <c r="G32" i="46"/>
  <c r="M32" i="46" s="1"/>
  <c r="L41" i="46"/>
  <c r="K41" i="46"/>
  <c r="J41" i="46"/>
  <c r="I41" i="46"/>
  <c r="H41" i="46"/>
  <c r="N41" i="46" s="1"/>
  <c r="G41" i="46"/>
  <c r="M41" i="46" s="1"/>
  <c r="L40" i="46"/>
  <c r="K40" i="46"/>
  <c r="J40" i="46"/>
  <c r="I40" i="46"/>
  <c r="H40" i="46"/>
  <c r="N40" i="46" s="1"/>
  <c r="G40" i="46"/>
  <c r="M40" i="46" s="1"/>
  <c r="L47" i="45"/>
  <c r="K47" i="45"/>
  <c r="J47" i="45"/>
  <c r="I47" i="45"/>
  <c r="H47" i="45"/>
  <c r="N47" i="45" s="1"/>
  <c r="G47" i="45"/>
  <c r="M47" i="45" s="1"/>
  <c r="L46" i="45"/>
  <c r="K46" i="45"/>
  <c r="J46" i="45"/>
  <c r="I46" i="45"/>
  <c r="H46" i="45"/>
  <c r="N46" i="45" s="1"/>
  <c r="G46" i="45"/>
  <c r="M46" i="45" s="1"/>
  <c r="M34" i="46" l="1"/>
  <c r="L17" i="45"/>
  <c r="K17" i="45"/>
  <c r="J17" i="45"/>
  <c r="I17" i="45"/>
  <c r="H17" i="45"/>
  <c r="G17" i="45"/>
  <c r="M17" i="45" s="1"/>
  <c r="L16" i="45"/>
  <c r="K16" i="45"/>
  <c r="J16" i="45"/>
  <c r="I16" i="45"/>
  <c r="H16" i="45"/>
  <c r="N16" i="45" s="1"/>
  <c r="G16" i="45"/>
  <c r="M16" i="45" s="1"/>
  <c r="L42" i="44"/>
  <c r="K42" i="44"/>
  <c r="J42" i="44"/>
  <c r="I42" i="44"/>
  <c r="H42" i="44"/>
  <c r="N42" i="44" s="1"/>
  <c r="G42" i="44"/>
  <c r="M42" i="44" s="1"/>
  <c r="L41" i="44"/>
  <c r="K41" i="44"/>
  <c r="J41" i="44"/>
  <c r="I41" i="44"/>
  <c r="H41" i="44"/>
  <c r="N41" i="44" s="1"/>
  <c r="G41" i="44"/>
  <c r="M41" i="44" s="1"/>
  <c r="L22" i="46"/>
  <c r="K22" i="46"/>
  <c r="J22" i="46"/>
  <c r="I22" i="46"/>
  <c r="H22" i="46"/>
  <c r="N22" i="46" s="1"/>
  <c r="G22" i="46"/>
  <c r="M22" i="46" s="1"/>
  <c r="L8" i="46"/>
  <c r="K8" i="46"/>
  <c r="J8" i="46"/>
  <c r="I8" i="46"/>
  <c r="H8" i="46"/>
  <c r="N8" i="46" s="1"/>
  <c r="G8" i="46"/>
  <c r="M8" i="46" s="1"/>
  <c r="L37" i="45"/>
  <c r="K37" i="45"/>
  <c r="J37" i="45"/>
  <c r="I37" i="45"/>
  <c r="H37" i="45"/>
  <c r="N37" i="45" s="1"/>
  <c r="G37" i="45"/>
  <c r="M37" i="45" s="1"/>
  <c r="L22" i="45"/>
  <c r="K22" i="45"/>
  <c r="J22" i="45"/>
  <c r="I22" i="45"/>
  <c r="H22" i="45"/>
  <c r="N22" i="45" s="1"/>
  <c r="G22" i="45"/>
  <c r="M22" i="45" s="1"/>
  <c r="L8" i="45"/>
  <c r="K8" i="45"/>
  <c r="J8" i="45"/>
  <c r="I8" i="45"/>
  <c r="H8" i="45"/>
  <c r="N8" i="45" s="1"/>
  <c r="G8" i="45"/>
  <c r="M8" i="45" s="1"/>
  <c r="L23" i="44"/>
  <c r="K23" i="44"/>
  <c r="J23" i="44"/>
  <c r="I23" i="44"/>
  <c r="H23" i="44"/>
  <c r="N23" i="44" s="1"/>
  <c r="G23" i="44"/>
  <c r="M23" i="44" s="1"/>
  <c r="L8" i="44"/>
  <c r="K8" i="44"/>
  <c r="J8" i="44"/>
  <c r="I8" i="44"/>
  <c r="H8" i="44"/>
  <c r="N8" i="44" s="1"/>
  <c r="G8" i="44"/>
  <c r="M8" i="44" s="1"/>
  <c r="L53" i="43"/>
  <c r="K53" i="43"/>
  <c r="J53" i="43"/>
  <c r="I53" i="43"/>
  <c r="H53" i="43"/>
  <c r="N53" i="43" s="1"/>
  <c r="G53" i="43"/>
  <c r="M53" i="43" s="1"/>
  <c r="L22" i="43"/>
  <c r="L24" i="43" s="1"/>
  <c r="K22" i="43"/>
  <c r="K24" i="43" s="1"/>
  <c r="J22" i="43"/>
  <c r="J24" i="43" s="1"/>
  <c r="I22" i="43"/>
  <c r="I24" i="43" s="1"/>
  <c r="H22" i="43"/>
  <c r="G22" i="43"/>
  <c r="N17" i="45" l="1"/>
  <c r="M22" i="43"/>
  <c r="G24" i="43"/>
  <c r="M24" i="43" s="1"/>
  <c r="N22" i="43"/>
  <c r="H24" i="43"/>
  <c r="N24" i="43" s="1"/>
  <c r="L33" i="45"/>
  <c r="K33" i="45"/>
  <c r="J33" i="45"/>
  <c r="I33" i="45"/>
  <c r="N33" i="45" l="1"/>
  <c r="H33" i="45"/>
  <c r="M33" i="45"/>
  <c r="G33" i="45"/>
  <c r="E42" i="46" l="1"/>
  <c r="K42" i="46"/>
  <c r="F42" i="46"/>
  <c r="J42" i="46"/>
  <c r="L42" i="46"/>
  <c r="I42" i="46"/>
  <c r="F43" i="44"/>
  <c r="E43" i="44"/>
  <c r="L43" i="44"/>
  <c r="K43" i="44"/>
  <c r="J43" i="44"/>
  <c r="I43" i="44"/>
  <c r="H43" i="44"/>
  <c r="G43" i="44"/>
  <c r="E33" i="44"/>
  <c r="H42" i="46" l="1"/>
  <c r="G42" i="46"/>
  <c r="M42" i="46"/>
  <c r="N42" i="46"/>
  <c r="M43" i="44"/>
  <c r="N43" i="44"/>
  <c r="G34" i="43" l="1"/>
  <c r="H34" i="43"/>
  <c r="I34" i="43"/>
  <c r="J34" i="43"/>
  <c r="K34" i="43"/>
  <c r="L34" i="43"/>
  <c r="M34" i="43"/>
  <c r="N34" i="43"/>
  <c r="F24" i="46" l="1"/>
  <c r="E24" i="46"/>
  <c r="L24" i="46"/>
  <c r="K24" i="46"/>
  <c r="J24" i="46"/>
  <c r="I24" i="46"/>
  <c r="H24" i="46"/>
  <c r="N24" i="46" s="1"/>
  <c r="G24" i="46"/>
  <c r="F10" i="46"/>
  <c r="E10" i="46"/>
  <c r="L10" i="46"/>
  <c r="K10" i="46"/>
  <c r="J10" i="46"/>
  <c r="I10" i="46"/>
  <c r="H10" i="46"/>
  <c r="N10" i="46" s="1"/>
  <c r="G10" i="46"/>
  <c r="F34" i="46"/>
  <c r="E34" i="46"/>
  <c r="L34" i="46"/>
  <c r="K34" i="46"/>
  <c r="J34" i="46"/>
  <c r="I34" i="46"/>
  <c r="H34" i="46"/>
  <c r="G34" i="46"/>
  <c r="F18" i="46"/>
  <c r="E18" i="46"/>
  <c r="L18" i="46"/>
  <c r="K18" i="46"/>
  <c r="J18" i="46"/>
  <c r="I18" i="46"/>
  <c r="H18" i="46"/>
  <c r="G18" i="46"/>
  <c r="F39" i="45"/>
  <c r="E39" i="45"/>
  <c r="L39" i="45"/>
  <c r="K39" i="45"/>
  <c r="J39" i="45"/>
  <c r="I39" i="45"/>
  <c r="H39" i="45"/>
  <c r="N39" i="45" s="1"/>
  <c r="G39" i="45"/>
  <c r="M39" i="45" s="1"/>
  <c r="M10" i="46" l="1"/>
  <c r="G19" i="46"/>
  <c r="M24" i="46"/>
  <c r="I35" i="46"/>
  <c r="K35" i="46"/>
  <c r="J35" i="46"/>
  <c r="L35" i="46"/>
  <c r="I19" i="46"/>
  <c r="K19" i="46"/>
  <c r="J19" i="46"/>
  <c r="L19" i="46"/>
  <c r="H19" i="46"/>
  <c r="G35" i="46"/>
  <c r="M18" i="46"/>
  <c r="H35" i="46"/>
  <c r="N18" i="46"/>
  <c r="N34" i="46"/>
  <c r="N35" i="46" l="1"/>
  <c r="M35" i="46"/>
  <c r="N19" i="46"/>
  <c r="M19" i="46"/>
  <c r="F24" i="45" l="1"/>
  <c r="E24" i="45"/>
  <c r="L24" i="45"/>
  <c r="K24" i="45"/>
  <c r="J24" i="45"/>
  <c r="I24" i="45"/>
  <c r="H24" i="45"/>
  <c r="N24" i="45" s="1"/>
  <c r="G24" i="45"/>
  <c r="G34" i="45" s="1"/>
  <c r="M24" i="45" l="1"/>
  <c r="F10" i="45"/>
  <c r="E10" i="45"/>
  <c r="L10" i="45"/>
  <c r="K10" i="45"/>
  <c r="J10" i="45"/>
  <c r="I10" i="45"/>
  <c r="H10" i="45"/>
  <c r="N10" i="45" s="1"/>
  <c r="G10" i="45"/>
  <c r="M10" i="45" s="1"/>
  <c r="F48" i="45"/>
  <c r="E48" i="45"/>
  <c r="L48" i="45"/>
  <c r="K48" i="45"/>
  <c r="J48" i="45"/>
  <c r="I48" i="45"/>
  <c r="H48" i="45"/>
  <c r="G48" i="45"/>
  <c r="L49" i="45"/>
  <c r="K49" i="45"/>
  <c r="J49" i="45"/>
  <c r="I49" i="45"/>
  <c r="F18" i="45"/>
  <c r="E18" i="45"/>
  <c r="J18" i="45"/>
  <c r="M34" i="45" l="1"/>
  <c r="L34" i="45"/>
  <c r="J19" i="45"/>
  <c r="K34" i="45"/>
  <c r="G18" i="45"/>
  <c r="G19" i="45" s="1"/>
  <c r="I18" i="45"/>
  <c r="K18" i="45"/>
  <c r="L18" i="45"/>
  <c r="J34" i="45"/>
  <c r="I34" i="45"/>
  <c r="N18" i="45"/>
  <c r="H18" i="45"/>
  <c r="G49" i="45"/>
  <c r="H49" i="45"/>
  <c r="M48" i="45"/>
  <c r="M49" i="45" s="1"/>
  <c r="M18" i="45"/>
  <c r="M19" i="45" s="1"/>
  <c r="N34" i="45"/>
  <c r="N48" i="45"/>
  <c r="F25" i="44"/>
  <c r="E25" i="44"/>
  <c r="L25" i="44"/>
  <c r="K25" i="44"/>
  <c r="J25" i="44"/>
  <c r="I25" i="44"/>
  <c r="H25" i="44"/>
  <c r="N25" i="44" s="1"/>
  <c r="G25" i="44"/>
  <c r="F10" i="44"/>
  <c r="E10" i="44"/>
  <c r="L10" i="44"/>
  <c r="K10" i="44"/>
  <c r="J10" i="44"/>
  <c r="I10" i="44"/>
  <c r="H10" i="44"/>
  <c r="N10" i="44" s="1"/>
  <c r="G10" i="44"/>
  <c r="F33" i="44"/>
  <c r="L33" i="44"/>
  <c r="F19" i="44"/>
  <c r="E19" i="44"/>
  <c r="M25" i="44" l="1"/>
  <c r="J19" i="44"/>
  <c r="J20" i="44" s="1"/>
  <c r="M10" i="44"/>
  <c r="H33" i="44"/>
  <c r="N49" i="45"/>
  <c r="K19" i="45"/>
  <c r="L19" i="45"/>
  <c r="I19" i="45"/>
  <c r="H34" i="45"/>
  <c r="N19" i="45"/>
  <c r="H19" i="45"/>
  <c r="J33" i="44"/>
  <c r="J34" i="44" s="1"/>
  <c r="L34" i="44"/>
  <c r="G33" i="44"/>
  <c r="G34" i="44" s="1"/>
  <c r="K33" i="44"/>
  <c r="K34" i="44" s="1"/>
  <c r="G19" i="44"/>
  <c r="G20" i="44" s="1"/>
  <c r="I19" i="44"/>
  <c r="K19" i="44"/>
  <c r="L19" i="44"/>
  <c r="I33" i="44"/>
  <c r="I34" i="44" s="1"/>
  <c r="N19" i="44"/>
  <c r="H19" i="44"/>
  <c r="M19" i="44"/>
  <c r="N33" i="44"/>
  <c r="M20" i="44" l="1"/>
  <c r="L20" i="44"/>
  <c r="I20" i="44"/>
  <c r="M33" i="44"/>
  <c r="M34" i="44" s="1"/>
  <c r="K20" i="44"/>
  <c r="H34" i="44"/>
  <c r="N34" i="44"/>
  <c r="N20" i="44"/>
  <c r="H20" i="44"/>
  <c r="F64" i="43" l="1"/>
  <c r="E64" i="43"/>
  <c r="L64" i="43"/>
  <c r="K64" i="43"/>
  <c r="J64" i="43"/>
  <c r="I64" i="43"/>
  <c r="H64" i="43"/>
  <c r="G64" i="43"/>
  <c r="F55" i="43"/>
  <c r="E55" i="43"/>
  <c r="L55" i="43"/>
  <c r="L65" i="43" s="1"/>
  <c r="K55" i="43"/>
  <c r="K65" i="43" s="1"/>
  <c r="J55" i="43"/>
  <c r="J65" i="43" s="1"/>
  <c r="I55" i="43"/>
  <c r="I65" i="43" s="1"/>
  <c r="H55" i="43"/>
  <c r="G55" i="43"/>
  <c r="F49" i="43"/>
  <c r="L49" i="43"/>
  <c r="K49" i="43"/>
  <c r="J49" i="43"/>
  <c r="I49" i="43"/>
  <c r="H49" i="43"/>
  <c r="G49" i="43"/>
  <c r="F39" i="43"/>
  <c r="E39" i="43"/>
  <c r="L39" i="43"/>
  <c r="L50" i="43" s="1"/>
  <c r="K39" i="43"/>
  <c r="K50" i="43" s="1"/>
  <c r="J39" i="43"/>
  <c r="J50" i="43" s="1"/>
  <c r="I39" i="43"/>
  <c r="H39" i="43"/>
  <c r="G39" i="43"/>
  <c r="I50" i="43" l="1"/>
  <c r="H65" i="43"/>
  <c r="N55" i="43"/>
  <c r="G65" i="43"/>
  <c r="M55" i="43"/>
  <c r="M64" i="43"/>
  <c r="N64" i="43"/>
  <c r="G50" i="43"/>
  <c r="M39" i="43"/>
  <c r="H50" i="43"/>
  <c r="N39" i="43"/>
  <c r="M49" i="43"/>
  <c r="N49" i="43"/>
  <c r="M50" i="43" l="1"/>
  <c r="M65" i="43"/>
  <c r="N65" i="43"/>
  <c r="N50" i="43"/>
</calcChain>
</file>

<file path=xl/sharedStrings.xml><?xml version="1.0" encoding="utf-8"?>
<sst xmlns="http://schemas.openxmlformats.org/spreadsheetml/2006/main" count="519" uniqueCount="224">
  <si>
    <t>№ рец.</t>
  </si>
  <si>
    <t>Наименование блюда</t>
  </si>
  <si>
    <t>Жиры,гр.</t>
  </si>
  <si>
    <t>Белки,гр.</t>
  </si>
  <si>
    <t>Углеводы,гр.</t>
  </si>
  <si>
    <t>Энергетическая ценность (ккал)</t>
  </si>
  <si>
    <t>Выход,гр.</t>
  </si>
  <si>
    <t>Пищевые вещества.</t>
  </si>
  <si>
    <t>ЗАВТРАК</t>
  </si>
  <si>
    <t>ОБЕД</t>
  </si>
  <si>
    <t>Макаронные изделия отварные</t>
  </si>
  <si>
    <t>Чай с лимоном</t>
  </si>
  <si>
    <t>ИТОГО ЗА ДЕНЬ:</t>
  </si>
  <si>
    <t>ИТОГО  ЗАВТРАК:</t>
  </si>
  <si>
    <t>ИТОГО  ОБЕД:</t>
  </si>
  <si>
    <t>7-11 лет</t>
  </si>
  <si>
    <t xml:space="preserve"> Чай с сахаром</t>
  </si>
  <si>
    <t>Каша рисовая молочная жидкая</t>
  </si>
  <si>
    <t>Неделя: первая, третья</t>
  </si>
  <si>
    <t>46/2008г</t>
  </si>
  <si>
    <t>92/2008г</t>
  </si>
  <si>
    <t>Картофельное пюре</t>
  </si>
  <si>
    <t>Хлеб ржаной</t>
  </si>
  <si>
    <t>Каша пшеничная молочная жидкая</t>
  </si>
  <si>
    <t xml:space="preserve"> </t>
  </si>
  <si>
    <t>Тефтели 2-й вариант</t>
  </si>
  <si>
    <t>чай с лимоном</t>
  </si>
  <si>
    <t>2004г</t>
  </si>
  <si>
    <t xml:space="preserve">Сборник рецептур блюд и кулинарных изделий для предприятий общественного питания      </t>
  </si>
  <si>
    <t>2008г</t>
  </si>
  <si>
    <t xml:space="preserve">Сборник  технических нормативов, рецептур блюд и кулинарных изделий для           </t>
  </si>
  <si>
    <t xml:space="preserve">предприятий общественного питания при образовательных учреждениях УР.  Ижевск 2008 г.   </t>
  </si>
  <si>
    <t>2013г</t>
  </si>
  <si>
    <t xml:space="preserve">организации питания детей в дошкольных организациях УР.  Ижевск 2013 г.   </t>
  </si>
  <si>
    <t>462/2004г</t>
  </si>
  <si>
    <t>97/2008г</t>
  </si>
  <si>
    <t>311/2004г</t>
  </si>
  <si>
    <t>каша гречневая</t>
  </si>
  <si>
    <t>2021г</t>
  </si>
  <si>
    <t>Единый сборник технологических нормативов, рецептур блюд и кулинарных изделий для детских садов,</t>
  </si>
  <si>
    <t>общеобразовательных школах. Уральский региональный центр питания. Пермь 2021 г. (Под общей редакцией А.Я. Превалова)</t>
  </si>
  <si>
    <t xml:space="preserve">при общеобразовательных школах . Москва 2004г (Под общей редакцией В.Т Лапшиной)   </t>
  </si>
  <si>
    <t>каша пшеничная</t>
  </si>
  <si>
    <t>ПОНЕДЕЛЬНИК</t>
  </si>
  <si>
    <t>ВТОРНИК</t>
  </si>
  <si>
    <t>День недели</t>
  </si>
  <si>
    <t>СРЕДА</t>
  </si>
  <si>
    <t xml:space="preserve">УТВЕРЖДАЮ </t>
  </si>
  <si>
    <t>12-18 лет</t>
  </si>
  <si>
    <t>459/2021г</t>
  </si>
  <si>
    <t>457/2021г</t>
  </si>
  <si>
    <t>ЧЕТВЕРГ</t>
  </si>
  <si>
    <t>СУББОТА</t>
  </si>
  <si>
    <t>ПЯТНИЦА</t>
  </si>
  <si>
    <t>495/2021г</t>
  </si>
  <si>
    <t>Компот из смеси сухофруктов</t>
  </si>
  <si>
    <t>Неделя: вторая, четвертая</t>
  </si>
  <si>
    <t>Список литературы</t>
  </si>
  <si>
    <t>обед</t>
  </si>
  <si>
    <t>завтрак</t>
  </si>
  <si>
    <t>2 нед.</t>
  </si>
  <si>
    <t>1 нед.</t>
  </si>
  <si>
    <t>каша пшенная</t>
  </si>
  <si>
    <t>понедельник</t>
  </si>
  <si>
    <t>вторник</t>
  </si>
  <si>
    <t>среда</t>
  </si>
  <si>
    <t>четверг</t>
  </si>
  <si>
    <t>пятница</t>
  </si>
  <si>
    <t>суббота</t>
  </si>
  <si>
    <t>236/2021г</t>
  </si>
  <si>
    <t>Каша пшенная жидкая</t>
  </si>
  <si>
    <t>230/2021г</t>
  </si>
  <si>
    <t>Каша манная молочная жидкая</t>
  </si>
  <si>
    <t>Каша пшённая молочная жидкая</t>
  </si>
  <si>
    <t>232/2021г</t>
  </si>
  <si>
    <t>235/2021г</t>
  </si>
  <si>
    <t>141/2008г</t>
  </si>
  <si>
    <t>Соус томатный</t>
  </si>
  <si>
    <t>100/2021г</t>
  </si>
  <si>
    <t>Рассольник ленинградский</t>
  </si>
  <si>
    <t>176/2013г</t>
  </si>
  <si>
    <t>Жаркое по-домашнему</t>
  </si>
  <si>
    <t>41/2008г</t>
  </si>
  <si>
    <t xml:space="preserve">Щи из свежей капусты с картофелем </t>
  </si>
  <si>
    <t>574/2021г</t>
  </si>
  <si>
    <t>573/2021г</t>
  </si>
  <si>
    <t>Хлеб пшеничный формовой</t>
  </si>
  <si>
    <t xml:space="preserve">Каша "Дружба" </t>
  </si>
  <si>
    <t xml:space="preserve">Суп картофельный с мак. изделиями </t>
  </si>
  <si>
    <t>229/2021г</t>
  </si>
  <si>
    <t>ТК-1</t>
  </si>
  <si>
    <t>Помидоры свежие порционно</t>
  </si>
  <si>
    <t xml:space="preserve">картофельное пюре </t>
  </si>
  <si>
    <t>суп гороховый</t>
  </si>
  <si>
    <t>чай с сахаром</t>
  </si>
  <si>
    <t>ТК-2</t>
  </si>
  <si>
    <t>Огурцы свежие порционно</t>
  </si>
  <si>
    <t>234/2021г</t>
  </si>
  <si>
    <t>Каша овсянная "Геркулес" жидкая</t>
  </si>
  <si>
    <t>БЛЮДО</t>
  </si>
  <si>
    <t>каша</t>
  </si>
  <si>
    <t>напиток</t>
  </si>
  <si>
    <t>закуска</t>
  </si>
  <si>
    <t>нарезка огурцы</t>
  </si>
  <si>
    <t>суп</t>
  </si>
  <si>
    <t>гарнир</t>
  </si>
  <si>
    <t>рыба</t>
  </si>
  <si>
    <t>мясо</t>
  </si>
  <si>
    <t>птица</t>
  </si>
  <si>
    <t>компот из смеси сухофруктов</t>
  </si>
  <si>
    <t>напиток из шиповника</t>
  </si>
  <si>
    <t>борщ с картофелем</t>
  </si>
  <si>
    <t>496/2021г</t>
  </si>
  <si>
    <t>Напиток из плодов шиповника</t>
  </si>
  <si>
    <t>347/2021г</t>
  </si>
  <si>
    <t>Котлеты "Школьные"</t>
  </si>
  <si>
    <t>227/2021г</t>
  </si>
  <si>
    <t>Каша ячневая молочная вязкая</t>
  </si>
  <si>
    <t>389/2021г</t>
  </si>
  <si>
    <t>94/2021г</t>
  </si>
  <si>
    <t>Борщ с картофелем</t>
  </si>
  <si>
    <t>216/2004г</t>
  </si>
  <si>
    <t xml:space="preserve">Картофель тушеный </t>
  </si>
  <si>
    <t>47/2008г</t>
  </si>
  <si>
    <t>Суп картофельный с бобовыми</t>
  </si>
  <si>
    <t>77/2008г</t>
  </si>
  <si>
    <t>Котлета "Здоровье"</t>
  </si>
  <si>
    <t>494/2004г</t>
  </si>
  <si>
    <t>Птица запеченная</t>
  </si>
  <si>
    <t>щи</t>
  </si>
  <si>
    <t>птица в соусе с томатом</t>
  </si>
  <si>
    <t>биточки особые</t>
  </si>
  <si>
    <t xml:space="preserve">компот из яблок </t>
  </si>
  <si>
    <t>рассольник лениградский</t>
  </si>
  <si>
    <t>суп с макаронными изделиями</t>
  </si>
  <si>
    <t>картофель тушеный</t>
  </si>
  <si>
    <t>птица запеченая</t>
  </si>
  <si>
    <t>плов</t>
  </si>
  <si>
    <t>мак.изделия отварные</t>
  </si>
  <si>
    <t>компот из яблок</t>
  </si>
  <si>
    <t>жаркое по-домашнему</t>
  </si>
  <si>
    <t>гуляш</t>
  </si>
  <si>
    <t>борщ с капустой и картофелем</t>
  </si>
  <si>
    <t>суп с клецками</t>
  </si>
  <si>
    <t>капуста тушеная с мясом</t>
  </si>
  <si>
    <t>картофельное пюре</t>
  </si>
  <si>
    <t>котлета Здоровье</t>
  </si>
  <si>
    <t>уха с рыбными консервами</t>
  </si>
  <si>
    <t>салат из св.огурцов с луком</t>
  </si>
  <si>
    <t>суп с мясными фрикадельками</t>
  </si>
  <si>
    <t xml:space="preserve">Основное двухнедельное  цикличное меню </t>
  </si>
  <si>
    <t>для организации питания учащихся 7-11 лет, 12 лет и старше</t>
  </si>
  <si>
    <t>122/2021г</t>
  </si>
  <si>
    <t>Суп с рыбными консервами</t>
  </si>
  <si>
    <t xml:space="preserve">Каша пшеничная жидкая </t>
  </si>
  <si>
    <t>тефтели 2-вариант</t>
  </si>
  <si>
    <t>367/2021г</t>
  </si>
  <si>
    <t>колтлеты Школьные</t>
  </si>
  <si>
    <t>213/2021г</t>
  </si>
  <si>
    <t>Каша гречневая вязкая</t>
  </si>
  <si>
    <t>452/2004г</t>
  </si>
  <si>
    <t>Биточки особые</t>
  </si>
  <si>
    <t>486/2021г</t>
  </si>
  <si>
    <t>Компот из свежих плодов и ягод</t>
  </si>
  <si>
    <t>94/2008г</t>
  </si>
  <si>
    <t>Рис припущеный</t>
  </si>
  <si>
    <t>45/2008г</t>
  </si>
  <si>
    <t>Суп картофельный с мясными фрикадельками</t>
  </si>
  <si>
    <t>15/2021г</t>
  </si>
  <si>
    <t>Салат из свежих огурцов с луком</t>
  </si>
  <si>
    <t>202/2021г</t>
  </si>
  <si>
    <t>Каша гречневая рассыпчатая</t>
  </si>
  <si>
    <t>каша гречневая рассып.</t>
  </si>
  <si>
    <t>63/2008г</t>
  </si>
  <si>
    <t>Гуляш</t>
  </si>
  <si>
    <t>196/2013г</t>
  </si>
  <si>
    <t>Капуста тушеная с мясом</t>
  </si>
  <si>
    <t>115/2021г</t>
  </si>
  <si>
    <t>Суп картофельный с клецками</t>
  </si>
  <si>
    <t>39/2008г</t>
  </si>
  <si>
    <t xml:space="preserve">Борщ с капустой и картофелем </t>
  </si>
  <si>
    <t>88/2008г</t>
  </si>
  <si>
    <t>Котлета рыбная "Нептун"</t>
  </si>
  <si>
    <t>котлета рыбная Нептун</t>
  </si>
  <si>
    <t>443/2004г</t>
  </si>
  <si>
    <t xml:space="preserve">Плов </t>
  </si>
  <si>
    <t>26/2021г</t>
  </si>
  <si>
    <t>Салат из свеклы отварной</t>
  </si>
  <si>
    <t>салат из свеклы отварной</t>
  </si>
  <si>
    <r>
      <t>Пюре из гороха с маслом</t>
    </r>
    <r>
      <rPr>
        <sz val="10"/>
        <color theme="1"/>
        <rFont val="Calibri"/>
        <family val="2"/>
        <charset val="204"/>
      </rPr>
      <t>*</t>
    </r>
  </si>
  <si>
    <r>
      <rPr>
        <sz val="10"/>
        <color theme="1"/>
        <rFont val="Calibri"/>
        <family val="2"/>
        <charset val="204"/>
      </rPr>
      <t>*</t>
    </r>
    <r>
      <rPr>
        <sz val="9"/>
        <color theme="1"/>
        <rFont val="Calibri"/>
        <family val="2"/>
        <charset val="204"/>
      </rPr>
      <t>замена кулинарного изделия</t>
    </r>
  </si>
  <si>
    <t>гороховое пюре/
мак.изделия отварные</t>
  </si>
  <si>
    <t>рис припущенный</t>
  </si>
  <si>
    <t>суп крестьянский 
с крупой</t>
  </si>
  <si>
    <t>48/2008г</t>
  </si>
  <si>
    <t>Суп крестьянский с крупой</t>
  </si>
  <si>
    <t>рассольник ленинградский</t>
  </si>
  <si>
    <t>Птица в соусе с томатом (50/50)</t>
  </si>
  <si>
    <t>в МКОУ "Тыловыл-Пельгинская ООШ"</t>
  </si>
  <si>
    <t>винегрет</t>
  </si>
  <si>
    <t>фрикадельки Петушок</t>
  </si>
  <si>
    <t>каша манная</t>
  </si>
  <si>
    <r>
      <t>Макаронные изделия отварные</t>
    </r>
    <r>
      <rPr>
        <sz val="10"/>
        <color theme="1"/>
        <rFont val="Calibri"/>
        <family val="2"/>
        <charset val="204"/>
      </rPr>
      <t>*</t>
    </r>
  </si>
  <si>
    <t>каша ячневая</t>
  </si>
  <si>
    <t>каша овсяная "Геркулес"</t>
  </si>
  <si>
    <t>81/2008г</t>
  </si>
  <si>
    <t>Фрикадельки "Петушок"</t>
  </si>
  <si>
    <t>30/2008г</t>
  </si>
  <si>
    <t>Винегрет овощной</t>
  </si>
  <si>
    <t>каша рисовая</t>
  </si>
  <si>
    <t>каша "Дружба"</t>
  </si>
  <si>
    <t>помидоры порционно</t>
  </si>
  <si>
    <t>огурцы порционно</t>
  </si>
  <si>
    <t>салат из свеклы с яблоками</t>
  </si>
  <si>
    <t>салат из картофеля и сол. огурцов</t>
  </si>
  <si>
    <t>28/2021г</t>
  </si>
  <si>
    <t>Салат из свеклы с яблоками</t>
  </si>
  <si>
    <t>43/2021г</t>
  </si>
  <si>
    <t xml:space="preserve">Салат картофельный с солеными огурцами или капустой квашеной </t>
  </si>
  <si>
    <t>СОГЛАСОВАНО</t>
  </si>
  <si>
    <t>Генеральный директор ООО "Школьное питание"</t>
  </si>
  <si>
    <t>Колеватов Е.С____________</t>
  </si>
  <si>
    <t>Директор МКОУ "Тыловыл-Пельгинская ООШ"</t>
  </si>
  <si>
    <t>Тарасова В.В.____________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</si>
</sst>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.5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u/>
      <sz val="10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3"/>
      <color indexed="8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i/>
      <sz val="13"/>
      <color indexed="8"/>
      <name val="Calibri"/>
      <family val="2"/>
      <charset val="204"/>
      <scheme val="minor"/>
    </font>
    <font>
      <b/>
      <i/>
      <sz val="13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75">
    <xf numFmtId="0" fontId="0" fillId="0" borderId="0" xfId="0"/>
    <xf numFmtId="0" fontId="0" fillId="0" borderId="0" xfId="0" applyBorder="1"/>
    <xf numFmtId="0" fontId="3" fillId="0" borderId="0" xfId="0" applyFont="1" applyBorder="1"/>
    <xf numFmtId="164" fontId="0" fillId="0" borderId="0" xfId="0" applyNumberForma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3" fillId="0" borderId="7" xfId="0" applyFont="1" applyBorder="1"/>
    <xf numFmtId="0" fontId="1" fillId="2" borderId="7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Border="1" applyAlignment="1"/>
    <xf numFmtId="0" fontId="0" fillId="0" borderId="0" xfId="0"/>
    <xf numFmtId="0" fontId="2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2" fontId="8" fillId="3" borderId="9" xfId="0" applyNumberFormat="1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 vertical="center"/>
    </xf>
    <xf numFmtId="2" fontId="2" fillId="3" borderId="14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0" fontId="1" fillId="2" borderId="35" xfId="0" applyFont="1" applyFill="1" applyBorder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0" fillId="0" borderId="0" xfId="0" applyFont="1"/>
    <xf numFmtId="0" fontId="0" fillId="0" borderId="34" xfId="0" applyBorder="1"/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" fillId="2" borderId="4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left"/>
    </xf>
    <xf numFmtId="2" fontId="2" fillId="2" borderId="43" xfId="0" applyNumberFormat="1" applyFont="1" applyFill="1" applyBorder="1" applyAlignment="1">
      <alignment horizontal="center"/>
    </xf>
    <xf numFmtId="2" fontId="2" fillId="3" borderId="43" xfId="0" applyNumberFormat="1" applyFont="1" applyFill="1" applyBorder="1" applyAlignment="1">
      <alignment horizontal="center"/>
    </xf>
    <xf numFmtId="2" fontId="2" fillId="3" borderId="46" xfId="0" applyNumberFormat="1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left"/>
    </xf>
    <xf numFmtId="0" fontId="2" fillId="2" borderId="50" xfId="0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2" fontId="2" fillId="2" borderId="50" xfId="0" applyNumberFormat="1" applyFont="1" applyFill="1" applyBorder="1" applyAlignment="1">
      <alignment horizontal="center"/>
    </xf>
    <xf numFmtId="2" fontId="2" fillId="3" borderId="50" xfId="0" applyNumberFormat="1" applyFont="1" applyFill="1" applyBorder="1" applyAlignment="1">
      <alignment horizontal="center"/>
    </xf>
    <xf numFmtId="2" fontId="2" fillId="3" borderId="53" xfId="0" applyNumberFormat="1" applyFont="1" applyFill="1" applyBorder="1" applyAlignment="1">
      <alignment horizontal="center"/>
    </xf>
    <xf numFmtId="0" fontId="14" fillId="0" borderId="0" xfId="0" applyFont="1"/>
    <xf numFmtId="0" fontId="1" fillId="2" borderId="1" xfId="0" applyFont="1" applyFill="1" applyBorder="1" applyAlignment="1">
      <alignment horizontal="center"/>
    </xf>
    <xf numFmtId="0" fontId="18" fillId="0" borderId="0" xfId="0" applyFont="1"/>
    <xf numFmtId="0" fontId="0" fillId="0" borderId="0" xfId="0" applyAlignment="1">
      <alignment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9" fillId="2" borderId="59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2" fontId="1" fillId="3" borderId="9" xfId="0" applyNumberFormat="1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0" fontId="1" fillId="2" borderId="63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2" fontId="2" fillId="2" borderId="23" xfId="0" applyNumberFormat="1" applyFont="1" applyFill="1" applyBorder="1" applyAlignment="1">
      <alignment horizontal="center"/>
    </xf>
    <xf numFmtId="2" fontId="2" fillId="3" borderId="23" xfId="0" applyNumberFormat="1" applyFont="1" applyFill="1" applyBorder="1" applyAlignment="1">
      <alignment horizontal="center"/>
    </xf>
    <xf numFmtId="2" fontId="2" fillId="3" borderId="64" xfId="0" applyNumberFormat="1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left" vertical="center"/>
    </xf>
    <xf numFmtId="0" fontId="1" fillId="2" borderId="50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2" fontId="1" fillId="2" borderId="50" xfId="0" applyNumberFormat="1" applyFont="1" applyFill="1" applyBorder="1" applyAlignment="1">
      <alignment horizontal="center"/>
    </xf>
    <xf numFmtId="2" fontId="1" fillId="3" borderId="50" xfId="0" applyNumberFormat="1" applyFont="1" applyFill="1" applyBorder="1" applyAlignment="1">
      <alignment horizontal="center"/>
    </xf>
    <xf numFmtId="2" fontId="1" fillId="3" borderId="53" xfId="0" applyNumberFormat="1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1" fillId="0" borderId="0" xfId="0" applyFont="1"/>
    <xf numFmtId="0" fontId="10" fillId="0" borderId="0" xfId="0" applyFont="1"/>
    <xf numFmtId="0" fontId="6" fillId="2" borderId="1" xfId="0" applyFont="1" applyFill="1" applyBorder="1" applyAlignment="1">
      <alignment horizontal="left" vertical="center"/>
    </xf>
    <xf numFmtId="0" fontId="11" fillId="0" borderId="0" xfId="0" applyFont="1"/>
    <xf numFmtId="0" fontId="10" fillId="2" borderId="0" xfId="0" applyFont="1" applyFill="1"/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 wrapText="1"/>
    </xf>
    <xf numFmtId="0" fontId="16" fillId="4" borderId="51" xfId="0" applyFont="1" applyFill="1" applyBorder="1" applyAlignment="1">
      <alignment horizontal="center" vertical="center"/>
    </xf>
    <xf numFmtId="0" fontId="16" fillId="4" borderId="5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49" fontId="17" fillId="2" borderId="24" xfId="1" applyNumberFormat="1" applyFont="1" applyFill="1" applyBorder="1" applyAlignment="1" applyProtection="1">
      <alignment horizontal="center" vertical="center"/>
    </xf>
    <xf numFmtId="49" fontId="17" fillId="2" borderId="58" xfId="1" applyNumberFormat="1" applyFont="1" applyFill="1" applyBorder="1" applyAlignment="1" applyProtection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7" fillId="2" borderId="9" xfId="1" applyNumberFormat="1" applyFont="1" applyFill="1" applyBorder="1" applyAlignment="1" applyProtection="1">
      <alignment horizontal="center" vertical="center"/>
    </xf>
    <xf numFmtId="49" fontId="17" fillId="2" borderId="14" xfId="1" applyNumberFormat="1" applyFont="1" applyFill="1" applyBorder="1" applyAlignment="1" applyProtection="1">
      <alignment horizontal="center" vertical="center"/>
    </xf>
    <xf numFmtId="0" fontId="16" fillId="4" borderId="51" xfId="0" applyFont="1" applyFill="1" applyBorder="1" applyAlignment="1">
      <alignment horizontal="center"/>
    </xf>
    <xf numFmtId="0" fontId="16" fillId="4" borderId="5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6" fillId="0" borderId="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9" fillId="2" borderId="29" xfId="0" applyFont="1" applyFill="1" applyBorder="1" applyAlignment="1">
      <alignment horizontal="center" vertical="center" textRotation="90"/>
    </xf>
    <xf numFmtId="0" fontId="19" fillId="2" borderId="30" xfId="0" applyFont="1" applyFill="1" applyBorder="1" applyAlignment="1">
      <alignment horizontal="center" vertical="center" textRotation="90"/>
    </xf>
    <xf numFmtId="0" fontId="19" fillId="2" borderId="31" xfId="0" applyFont="1" applyFill="1" applyBorder="1" applyAlignment="1">
      <alignment horizontal="center" vertical="center" textRotation="90"/>
    </xf>
    <xf numFmtId="0" fontId="6" fillId="2" borderId="4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7" fillId="2" borderId="15" xfId="1" applyNumberFormat="1" applyFont="1" applyFill="1" applyBorder="1" applyAlignment="1" applyProtection="1">
      <alignment horizontal="center" vertical="center"/>
    </xf>
    <xf numFmtId="49" fontId="17" fillId="2" borderId="16" xfId="1" applyNumberFormat="1" applyFont="1" applyFill="1" applyBorder="1" applyAlignment="1" applyProtection="1">
      <alignment horizontal="center" vertical="center"/>
    </xf>
    <xf numFmtId="49" fontId="17" fillId="2" borderId="48" xfId="1" applyNumberFormat="1" applyFont="1" applyFill="1" applyBorder="1" applyAlignment="1" applyProtection="1">
      <alignment horizontal="center" vertical="center"/>
    </xf>
    <xf numFmtId="49" fontId="17" fillId="2" borderId="15" xfId="1" applyNumberFormat="1" applyFont="1" applyFill="1" applyBorder="1" applyAlignment="1" applyProtection="1">
      <alignment horizontal="center" vertical="center" wrapText="1"/>
    </xf>
    <xf numFmtId="49" fontId="17" fillId="2" borderId="16" xfId="1" applyNumberFormat="1" applyFont="1" applyFill="1" applyBorder="1" applyAlignment="1" applyProtection="1">
      <alignment horizontal="center" vertical="center" wrapText="1"/>
    </xf>
    <xf numFmtId="49" fontId="15" fillId="4" borderId="60" xfId="1" applyNumberFormat="1" applyFont="1" applyFill="1" applyBorder="1" applyAlignment="1" applyProtection="1">
      <alignment horizontal="center" vertical="center"/>
    </xf>
    <xf numFmtId="49" fontId="15" fillId="4" borderId="51" xfId="1" applyNumberFormat="1" applyFont="1" applyFill="1" applyBorder="1" applyAlignment="1" applyProtection="1">
      <alignment horizontal="center" vertical="center"/>
    </xf>
    <xf numFmtId="49" fontId="15" fillId="4" borderId="55" xfId="1" applyNumberFormat="1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9" fontId="17" fillId="2" borderId="48" xfId="1" applyNumberFormat="1" applyFont="1" applyFill="1" applyBorder="1" applyAlignment="1" applyProtection="1">
      <alignment horizontal="center" vertical="center" wrapText="1"/>
    </xf>
    <xf numFmtId="49" fontId="17" fillId="2" borderId="54" xfId="1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11" fillId="0" borderId="0" xfId="0" applyFont="1"/>
    <xf numFmtId="0" fontId="10" fillId="0" borderId="0" xfId="0" applyFont="1"/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2" borderId="0" xfId="0" applyFont="1" applyFill="1" applyAlignment="1">
      <alignment horizontal="center" vertical="center"/>
    </xf>
    <xf numFmtId="0" fontId="3" fillId="0" borderId="0" xfId="0" applyFont="1"/>
    <xf numFmtId="0" fontId="9" fillId="3" borderId="19" xfId="0" applyFont="1" applyFill="1" applyBorder="1" applyAlignment="1">
      <alignment vertical="center" textRotation="90"/>
    </xf>
    <xf numFmtId="0" fontId="9" fillId="3" borderId="20" xfId="0" applyFont="1" applyFill="1" applyBorder="1" applyAlignment="1">
      <alignment vertical="center" textRotation="90"/>
    </xf>
    <xf numFmtId="0" fontId="9" fillId="3" borderId="21" xfId="0" applyFont="1" applyFill="1" applyBorder="1" applyAlignment="1">
      <alignment vertical="center" textRotation="90"/>
    </xf>
    <xf numFmtId="0" fontId="2" fillId="2" borderId="44" xfId="0" applyFont="1" applyFill="1" applyBorder="1" applyAlignment="1">
      <alignment vertical="center" textRotation="90"/>
    </xf>
    <xf numFmtId="0" fontId="2" fillId="2" borderId="47" xfId="0" applyFont="1" applyFill="1" applyBorder="1" applyAlignment="1">
      <alignment vertical="center" textRotation="90"/>
    </xf>
    <xf numFmtId="0" fontId="2" fillId="2" borderId="29" xfId="0" applyFont="1" applyFill="1" applyBorder="1" applyAlignment="1">
      <alignment horizontal="center" vertical="center" textRotation="90"/>
    </xf>
    <xf numFmtId="0" fontId="2" fillId="2" borderId="30" xfId="0" applyFont="1" applyFill="1" applyBorder="1" applyAlignment="1">
      <alignment horizontal="center" vertical="center" textRotation="90"/>
    </xf>
    <xf numFmtId="0" fontId="2" fillId="2" borderId="31" xfId="0" applyFont="1" applyFill="1" applyBorder="1" applyAlignment="1">
      <alignment horizontal="center" vertical="center" textRotation="90"/>
    </xf>
    <xf numFmtId="0" fontId="24" fillId="2" borderId="2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2" fillId="2" borderId="61" xfId="0" applyFont="1" applyFill="1" applyBorder="1" applyAlignment="1">
      <alignment horizontal="center" vertical="center" textRotation="90"/>
    </xf>
    <xf numFmtId="0" fontId="2" fillId="2" borderId="27" xfId="0" applyFont="1" applyFill="1" applyBorder="1" applyAlignment="1">
      <alignment horizontal="center" vertical="center" textRotation="90"/>
    </xf>
    <xf numFmtId="0" fontId="2" fillId="2" borderId="28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 vertical="center" textRotation="90"/>
    </xf>
    <xf numFmtId="0" fontId="2" fillId="2" borderId="47" xfId="0" applyFont="1" applyFill="1" applyBorder="1" applyAlignment="1">
      <alignment horizontal="center" vertical="center" textRotation="90"/>
    </xf>
    <xf numFmtId="0" fontId="2" fillId="2" borderId="45" xfId="0" applyFont="1" applyFill="1" applyBorder="1" applyAlignment="1">
      <alignment horizontal="center" vertical="center" textRotation="90"/>
    </xf>
    <xf numFmtId="0" fontId="2" fillId="0" borderId="2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textRotation="90"/>
    </xf>
    <xf numFmtId="0" fontId="2" fillId="0" borderId="47" xfId="0" applyFont="1" applyBorder="1" applyAlignment="1">
      <alignment horizontal="center" vertical="center" textRotation="90"/>
    </xf>
    <xf numFmtId="0" fontId="2" fillId="0" borderId="45" xfId="0" applyFont="1" applyBorder="1" applyAlignment="1">
      <alignment horizontal="center" vertical="center" textRotation="90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3" fillId="2" borderId="34" xfId="0" applyFont="1" applyFill="1" applyBorder="1" applyAlignment="1">
      <alignment horizontal="center"/>
    </xf>
    <xf numFmtId="0" fontId="1" fillId="0" borderId="40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9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FF66"/>
      <color rgb="FF99FF99"/>
      <color rgb="FF99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2"/>
  <sheetViews>
    <sheetView zoomScale="90" zoomScaleNormal="90" workbookViewId="0">
      <selection activeCell="L15" sqref="L15:M15"/>
    </sheetView>
  </sheetViews>
  <sheetFormatPr defaultRowHeight="12.75" x14ac:dyDescent="0.2"/>
  <cols>
    <col min="1" max="1" width="5.42578125" style="75" customWidth="1"/>
    <col min="2" max="2" width="5.7109375" style="77" customWidth="1"/>
    <col min="3" max="3" width="11.42578125" style="75" customWidth="1"/>
    <col min="4" max="4" width="11" style="75" customWidth="1"/>
    <col min="5" max="5" width="13.85546875" style="75" customWidth="1"/>
    <col min="6" max="6" width="12.7109375" style="75" customWidth="1"/>
    <col min="7" max="7" width="12" style="75" customWidth="1"/>
    <col min="8" max="8" width="12.85546875" style="75" customWidth="1"/>
    <col min="9" max="9" width="13.28515625" style="75" customWidth="1"/>
    <col min="10" max="10" width="14.140625" style="75" customWidth="1"/>
    <col min="11" max="11" width="12.140625" style="75" customWidth="1"/>
    <col min="12" max="12" width="9.140625" style="75"/>
    <col min="13" max="13" width="14" style="75" customWidth="1"/>
    <col min="14" max="14" width="13" style="75" customWidth="1"/>
    <col min="15" max="256" width="9.140625" style="75"/>
    <col min="257" max="257" width="5.42578125" style="75" customWidth="1"/>
    <col min="258" max="258" width="7" style="75" customWidth="1"/>
    <col min="259" max="259" width="11.42578125" style="75" customWidth="1"/>
    <col min="260" max="260" width="11" style="75" customWidth="1"/>
    <col min="261" max="261" width="15" style="75" customWidth="1"/>
    <col min="262" max="263" width="12.7109375" style="75" customWidth="1"/>
    <col min="264" max="264" width="12.85546875" style="75" customWidth="1"/>
    <col min="265" max="265" width="11.42578125" style="75" customWidth="1"/>
    <col min="266" max="266" width="14.140625" style="75" customWidth="1"/>
    <col min="267" max="267" width="7.7109375" style="75" customWidth="1"/>
    <col min="268" max="268" width="9.140625" style="75"/>
    <col min="269" max="269" width="12.140625" style="75" customWidth="1"/>
    <col min="270" max="270" width="22.140625" style="75" customWidth="1"/>
    <col min="271" max="512" width="9.140625" style="75"/>
    <col min="513" max="513" width="5.42578125" style="75" customWidth="1"/>
    <col min="514" max="514" width="7" style="75" customWidth="1"/>
    <col min="515" max="515" width="11.42578125" style="75" customWidth="1"/>
    <col min="516" max="516" width="11" style="75" customWidth="1"/>
    <col min="517" max="517" width="15" style="75" customWidth="1"/>
    <col min="518" max="519" width="12.7109375" style="75" customWidth="1"/>
    <col min="520" max="520" width="12.85546875" style="75" customWidth="1"/>
    <col min="521" max="521" width="11.42578125" style="75" customWidth="1"/>
    <col min="522" max="522" width="14.140625" style="75" customWidth="1"/>
    <col min="523" max="523" width="7.7109375" style="75" customWidth="1"/>
    <col min="524" max="524" width="9.140625" style="75"/>
    <col min="525" max="525" width="12.140625" style="75" customWidth="1"/>
    <col min="526" max="526" width="22.140625" style="75" customWidth="1"/>
    <col min="527" max="768" width="9.140625" style="75"/>
    <col min="769" max="769" width="5.42578125" style="75" customWidth="1"/>
    <col min="770" max="770" width="7" style="75" customWidth="1"/>
    <col min="771" max="771" width="11.42578125" style="75" customWidth="1"/>
    <col min="772" max="772" width="11" style="75" customWidth="1"/>
    <col min="773" max="773" width="15" style="75" customWidth="1"/>
    <col min="774" max="775" width="12.7109375" style="75" customWidth="1"/>
    <col min="776" max="776" width="12.85546875" style="75" customWidth="1"/>
    <col min="777" max="777" width="11.42578125" style="75" customWidth="1"/>
    <col min="778" max="778" width="14.140625" style="75" customWidth="1"/>
    <col min="779" max="779" width="7.7109375" style="75" customWidth="1"/>
    <col min="780" max="780" width="9.140625" style="75"/>
    <col min="781" max="781" width="12.140625" style="75" customWidth="1"/>
    <col min="782" max="782" width="22.140625" style="75" customWidth="1"/>
    <col min="783" max="1024" width="9.140625" style="75"/>
    <col min="1025" max="1025" width="5.42578125" style="75" customWidth="1"/>
    <col min="1026" max="1026" width="7" style="75" customWidth="1"/>
    <col min="1027" max="1027" width="11.42578125" style="75" customWidth="1"/>
    <col min="1028" max="1028" width="11" style="75" customWidth="1"/>
    <col min="1029" max="1029" width="15" style="75" customWidth="1"/>
    <col min="1030" max="1031" width="12.7109375" style="75" customWidth="1"/>
    <col min="1032" max="1032" width="12.85546875" style="75" customWidth="1"/>
    <col min="1033" max="1033" width="11.42578125" style="75" customWidth="1"/>
    <col min="1034" max="1034" width="14.140625" style="75" customWidth="1"/>
    <col min="1035" max="1035" width="7.7109375" style="75" customWidth="1"/>
    <col min="1036" max="1036" width="9.140625" style="75"/>
    <col min="1037" max="1037" width="12.140625" style="75" customWidth="1"/>
    <col min="1038" max="1038" width="22.140625" style="75" customWidth="1"/>
    <col min="1039" max="1280" width="9.140625" style="75"/>
    <col min="1281" max="1281" width="5.42578125" style="75" customWidth="1"/>
    <col min="1282" max="1282" width="7" style="75" customWidth="1"/>
    <col min="1283" max="1283" width="11.42578125" style="75" customWidth="1"/>
    <col min="1284" max="1284" width="11" style="75" customWidth="1"/>
    <col min="1285" max="1285" width="15" style="75" customWidth="1"/>
    <col min="1286" max="1287" width="12.7109375" style="75" customWidth="1"/>
    <col min="1288" max="1288" width="12.85546875" style="75" customWidth="1"/>
    <col min="1289" max="1289" width="11.42578125" style="75" customWidth="1"/>
    <col min="1290" max="1290" width="14.140625" style="75" customWidth="1"/>
    <col min="1291" max="1291" width="7.7109375" style="75" customWidth="1"/>
    <col min="1292" max="1292" width="9.140625" style="75"/>
    <col min="1293" max="1293" width="12.140625" style="75" customWidth="1"/>
    <col min="1294" max="1294" width="22.140625" style="75" customWidth="1"/>
    <col min="1295" max="1536" width="9.140625" style="75"/>
    <col min="1537" max="1537" width="5.42578125" style="75" customWidth="1"/>
    <col min="1538" max="1538" width="7" style="75" customWidth="1"/>
    <col min="1539" max="1539" width="11.42578125" style="75" customWidth="1"/>
    <col min="1540" max="1540" width="11" style="75" customWidth="1"/>
    <col min="1541" max="1541" width="15" style="75" customWidth="1"/>
    <col min="1542" max="1543" width="12.7109375" style="75" customWidth="1"/>
    <col min="1544" max="1544" width="12.85546875" style="75" customWidth="1"/>
    <col min="1545" max="1545" width="11.42578125" style="75" customWidth="1"/>
    <col min="1546" max="1546" width="14.140625" style="75" customWidth="1"/>
    <col min="1547" max="1547" width="7.7109375" style="75" customWidth="1"/>
    <col min="1548" max="1548" width="9.140625" style="75"/>
    <col min="1549" max="1549" width="12.140625" style="75" customWidth="1"/>
    <col min="1550" max="1550" width="22.140625" style="75" customWidth="1"/>
    <col min="1551" max="1792" width="9.140625" style="75"/>
    <col min="1793" max="1793" width="5.42578125" style="75" customWidth="1"/>
    <col min="1794" max="1794" width="7" style="75" customWidth="1"/>
    <col min="1795" max="1795" width="11.42578125" style="75" customWidth="1"/>
    <col min="1796" max="1796" width="11" style="75" customWidth="1"/>
    <col min="1797" max="1797" width="15" style="75" customWidth="1"/>
    <col min="1798" max="1799" width="12.7109375" style="75" customWidth="1"/>
    <col min="1800" max="1800" width="12.85546875" style="75" customWidth="1"/>
    <col min="1801" max="1801" width="11.42578125" style="75" customWidth="1"/>
    <col min="1802" max="1802" width="14.140625" style="75" customWidth="1"/>
    <col min="1803" max="1803" width="7.7109375" style="75" customWidth="1"/>
    <col min="1804" max="1804" width="9.140625" style="75"/>
    <col min="1805" max="1805" width="12.140625" style="75" customWidth="1"/>
    <col min="1806" max="1806" width="22.140625" style="75" customWidth="1"/>
    <col min="1807" max="2048" width="9.140625" style="75"/>
    <col min="2049" max="2049" width="5.42578125" style="75" customWidth="1"/>
    <col min="2050" max="2050" width="7" style="75" customWidth="1"/>
    <col min="2051" max="2051" width="11.42578125" style="75" customWidth="1"/>
    <col min="2052" max="2052" width="11" style="75" customWidth="1"/>
    <col min="2053" max="2053" width="15" style="75" customWidth="1"/>
    <col min="2054" max="2055" width="12.7109375" style="75" customWidth="1"/>
    <col min="2056" max="2056" width="12.85546875" style="75" customWidth="1"/>
    <col min="2057" max="2057" width="11.42578125" style="75" customWidth="1"/>
    <col min="2058" max="2058" width="14.140625" style="75" customWidth="1"/>
    <col min="2059" max="2059" width="7.7109375" style="75" customWidth="1"/>
    <col min="2060" max="2060" width="9.140625" style="75"/>
    <col min="2061" max="2061" width="12.140625" style="75" customWidth="1"/>
    <col min="2062" max="2062" width="22.140625" style="75" customWidth="1"/>
    <col min="2063" max="2304" width="9.140625" style="75"/>
    <col min="2305" max="2305" width="5.42578125" style="75" customWidth="1"/>
    <col min="2306" max="2306" width="7" style="75" customWidth="1"/>
    <col min="2307" max="2307" width="11.42578125" style="75" customWidth="1"/>
    <col min="2308" max="2308" width="11" style="75" customWidth="1"/>
    <col min="2309" max="2309" width="15" style="75" customWidth="1"/>
    <col min="2310" max="2311" width="12.7109375" style="75" customWidth="1"/>
    <col min="2312" max="2312" width="12.85546875" style="75" customWidth="1"/>
    <col min="2313" max="2313" width="11.42578125" style="75" customWidth="1"/>
    <col min="2314" max="2314" width="14.140625" style="75" customWidth="1"/>
    <col min="2315" max="2315" width="7.7109375" style="75" customWidth="1"/>
    <col min="2316" max="2316" width="9.140625" style="75"/>
    <col min="2317" max="2317" width="12.140625" style="75" customWidth="1"/>
    <col min="2318" max="2318" width="22.140625" style="75" customWidth="1"/>
    <col min="2319" max="2560" width="9.140625" style="75"/>
    <col min="2561" max="2561" width="5.42578125" style="75" customWidth="1"/>
    <col min="2562" max="2562" width="7" style="75" customWidth="1"/>
    <col min="2563" max="2563" width="11.42578125" style="75" customWidth="1"/>
    <col min="2564" max="2564" width="11" style="75" customWidth="1"/>
    <col min="2565" max="2565" width="15" style="75" customWidth="1"/>
    <col min="2566" max="2567" width="12.7109375" style="75" customWidth="1"/>
    <col min="2568" max="2568" width="12.85546875" style="75" customWidth="1"/>
    <col min="2569" max="2569" width="11.42578125" style="75" customWidth="1"/>
    <col min="2570" max="2570" width="14.140625" style="75" customWidth="1"/>
    <col min="2571" max="2571" width="7.7109375" style="75" customWidth="1"/>
    <col min="2572" max="2572" width="9.140625" style="75"/>
    <col min="2573" max="2573" width="12.140625" style="75" customWidth="1"/>
    <col min="2574" max="2574" width="22.140625" style="75" customWidth="1"/>
    <col min="2575" max="2816" width="9.140625" style="75"/>
    <col min="2817" max="2817" width="5.42578125" style="75" customWidth="1"/>
    <col min="2818" max="2818" width="7" style="75" customWidth="1"/>
    <col min="2819" max="2819" width="11.42578125" style="75" customWidth="1"/>
    <col min="2820" max="2820" width="11" style="75" customWidth="1"/>
    <col min="2821" max="2821" width="15" style="75" customWidth="1"/>
    <col min="2822" max="2823" width="12.7109375" style="75" customWidth="1"/>
    <col min="2824" max="2824" width="12.85546875" style="75" customWidth="1"/>
    <col min="2825" max="2825" width="11.42578125" style="75" customWidth="1"/>
    <col min="2826" max="2826" width="14.140625" style="75" customWidth="1"/>
    <col min="2827" max="2827" width="7.7109375" style="75" customWidth="1"/>
    <col min="2828" max="2828" width="9.140625" style="75"/>
    <col min="2829" max="2829" width="12.140625" style="75" customWidth="1"/>
    <col min="2830" max="2830" width="22.140625" style="75" customWidth="1"/>
    <col min="2831" max="3072" width="9.140625" style="75"/>
    <col min="3073" max="3073" width="5.42578125" style="75" customWidth="1"/>
    <col min="3074" max="3074" width="7" style="75" customWidth="1"/>
    <col min="3075" max="3075" width="11.42578125" style="75" customWidth="1"/>
    <col min="3076" max="3076" width="11" style="75" customWidth="1"/>
    <col min="3077" max="3077" width="15" style="75" customWidth="1"/>
    <col min="3078" max="3079" width="12.7109375" style="75" customWidth="1"/>
    <col min="3080" max="3080" width="12.85546875" style="75" customWidth="1"/>
    <col min="3081" max="3081" width="11.42578125" style="75" customWidth="1"/>
    <col min="3082" max="3082" width="14.140625" style="75" customWidth="1"/>
    <col min="3083" max="3083" width="7.7109375" style="75" customWidth="1"/>
    <col min="3084" max="3084" width="9.140625" style="75"/>
    <col min="3085" max="3085" width="12.140625" style="75" customWidth="1"/>
    <col min="3086" max="3086" width="22.140625" style="75" customWidth="1"/>
    <col min="3087" max="3328" width="9.140625" style="75"/>
    <col min="3329" max="3329" width="5.42578125" style="75" customWidth="1"/>
    <col min="3330" max="3330" width="7" style="75" customWidth="1"/>
    <col min="3331" max="3331" width="11.42578125" style="75" customWidth="1"/>
    <col min="3332" max="3332" width="11" style="75" customWidth="1"/>
    <col min="3333" max="3333" width="15" style="75" customWidth="1"/>
    <col min="3334" max="3335" width="12.7109375" style="75" customWidth="1"/>
    <col min="3336" max="3336" width="12.85546875" style="75" customWidth="1"/>
    <col min="3337" max="3337" width="11.42578125" style="75" customWidth="1"/>
    <col min="3338" max="3338" width="14.140625" style="75" customWidth="1"/>
    <col min="3339" max="3339" width="7.7109375" style="75" customWidth="1"/>
    <col min="3340" max="3340" width="9.140625" style="75"/>
    <col min="3341" max="3341" width="12.140625" style="75" customWidth="1"/>
    <col min="3342" max="3342" width="22.140625" style="75" customWidth="1"/>
    <col min="3343" max="3584" width="9.140625" style="75"/>
    <col min="3585" max="3585" width="5.42578125" style="75" customWidth="1"/>
    <col min="3586" max="3586" width="7" style="75" customWidth="1"/>
    <col min="3587" max="3587" width="11.42578125" style="75" customWidth="1"/>
    <col min="3588" max="3588" width="11" style="75" customWidth="1"/>
    <col min="3589" max="3589" width="15" style="75" customWidth="1"/>
    <col min="3590" max="3591" width="12.7109375" style="75" customWidth="1"/>
    <col min="3592" max="3592" width="12.85546875" style="75" customWidth="1"/>
    <col min="3593" max="3593" width="11.42578125" style="75" customWidth="1"/>
    <col min="3594" max="3594" width="14.140625" style="75" customWidth="1"/>
    <col min="3595" max="3595" width="7.7109375" style="75" customWidth="1"/>
    <col min="3596" max="3596" width="9.140625" style="75"/>
    <col min="3597" max="3597" width="12.140625" style="75" customWidth="1"/>
    <col min="3598" max="3598" width="22.140625" style="75" customWidth="1"/>
    <col min="3599" max="3840" width="9.140625" style="75"/>
    <col min="3841" max="3841" width="5.42578125" style="75" customWidth="1"/>
    <col min="3842" max="3842" width="7" style="75" customWidth="1"/>
    <col min="3843" max="3843" width="11.42578125" style="75" customWidth="1"/>
    <col min="3844" max="3844" width="11" style="75" customWidth="1"/>
    <col min="3845" max="3845" width="15" style="75" customWidth="1"/>
    <col min="3846" max="3847" width="12.7109375" style="75" customWidth="1"/>
    <col min="3848" max="3848" width="12.85546875" style="75" customWidth="1"/>
    <col min="3849" max="3849" width="11.42578125" style="75" customWidth="1"/>
    <col min="3850" max="3850" width="14.140625" style="75" customWidth="1"/>
    <col min="3851" max="3851" width="7.7109375" style="75" customWidth="1"/>
    <col min="3852" max="3852" width="9.140625" style="75"/>
    <col min="3853" max="3853" width="12.140625" style="75" customWidth="1"/>
    <col min="3854" max="3854" width="22.140625" style="75" customWidth="1"/>
    <col min="3855" max="4096" width="9.140625" style="75"/>
    <col min="4097" max="4097" width="5.42578125" style="75" customWidth="1"/>
    <col min="4098" max="4098" width="7" style="75" customWidth="1"/>
    <col min="4099" max="4099" width="11.42578125" style="75" customWidth="1"/>
    <col min="4100" max="4100" width="11" style="75" customWidth="1"/>
    <col min="4101" max="4101" width="15" style="75" customWidth="1"/>
    <col min="4102" max="4103" width="12.7109375" style="75" customWidth="1"/>
    <col min="4104" max="4104" width="12.85546875" style="75" customWidth="1"/>
    <col min="4105" max="4105" width="11.42578125" style="75" customWidth="1"/>
    <col min="4106" max="4106" width="14.140625" style="75" customWidth="1"/>
    <col min="4107" max="4107" width="7.7109375" style="75" customWidth="1"/>
    <col min="4108" max="4108" width="9.140625" style="75"/>
    <col min="4109" max="4109" width="12.140625" style="75" customWidth="1"/>
    <col min="4110" max="4110" width="22.140625" style="75" customWidth="1"/>
    <col min="4111" max="4352" width="9.140625" style="75"/>
    <col min="4353" max="4353" width="5.42578125" style="75" customWidth="1"/>
    <col min="4354" max="4354" width="7" style="75" customWidth="1"/>
    <col min="4355" max="4355" width="11.42578125" style="75" customWidth="1"/>
    <col min="4356" max="4356" width="11" style="75" customWidth="1"/>
    <col min="4357" max="4357" width="15" style="75" customWidth="1"/>
    <col min="4358" max="4359" width="12.7109375" style="75" customWidth="1"/>
    <col min="4360" max="4360" width="12.85546875" style="75" customWidth="1"/>
    <col min="4361" max="4361" width="11.42578125" style="75" customWidth="1"/>
    <col min="4362" max="4362" width="14.140625" style="75" customWidth="1"/>
    <col min="4363" max="4363" width="7.7109375" style="75" customWidth="1"/>
    <col min="4364" max="4364" width="9.140625" style="75"/>
    <col min="4365" max="4365" width="12.140625" style="75" customWidth="1"/>
    <col min="4366" max="4366" width="22.140625" style="75" customWidth="1"/>
    <col min="4367" max="4608" width="9.140625" style="75"/>
    <col min="4609" max="4609" width="5.42578125" style="75" customWidth="1"/>
    <col min="4610" max="4610" width="7" style="75" customWidth="1"/>
    <col min="4611" max="4611" width="11.42578125" style="75" customWidth="1"/>
    <col min="4612" max="4612" width="11" style="75" customWidth="1"/>
    <col min="4613" max="4613" width="15" style="75" customWidth="1"/>
    <col min="4614" max="4615" width="12.7109375" style="75" customWidth="1"/>
    <col min="4616" max="4616" width="12.85546875" style="75" customWidth="1"/>
    <col min="4617" max="4617" width="11.42578125" style="75" customWidth="1"/>
    <col min="4618" max="4618" width="14.140625" style="75" customWidth="1"/>
    <col min="4619" max="4619" width="7.7109375" style="75" customWidth="1"/>
    <col min="4620" max="4620" width="9.140625" style="75"/>
    <col min="4621" max="4621" width="12.140625" style="75" customWidth="1"/>
    <col min="4622" max="4622" width="22.140625" style="75" customWidth="1"/>
    <col min="4623" max="4864" width="9.140625" style="75"/>
    <col min="4865" max="4865" width="5.42578125" style="75" customWidth="1"/>
    <col min="4866" max="4866" width="7" style="75" customWidth="1"/>
    <col min="4867" max="4867" width="11.42578125" style="75" customWidth="1"/>
    <col min="4868" max="4868" width="11" style="75" customWidth="1"/>
    <col min="4869" max="4869" width="15" style="75" customWidth="1"/>
    <col min="4870" max="4871" width="12.7109375" style="75" customWidth="1"/>
    <col min="4872" max="4872" width="12.85546875" style="75" customWidth="1"/>
    <col min="4873" max="4873" width="11.42578125" style="75" customWidth="1"/>
    <col min="4874" max="4874" width="14.140625" style="75" customWidth="1"/>
    <col min="4875" max="4875" width="7.7109375" style="75" customWidth="1"/>
    <col min="4876" max="4876" width="9.140625" style="75"/>
    <col min="4877" max="4877" width="12.140625" style="75" customWidth="1"/>
    <col min="4878" max="4878" width="22.140625" style="75" customWidth="1"/>
    <col min="4879" max="5120" width="9.140625" style="75"/>
    <col min="5121" max="5121" width="5.42578125" style="75" customWidth="1"/>
    <col min="5122" max="5122" width="7" style="75" customWidth="1"/>
    <col min="5123" max="5123" width="11.42578125" style="75" customWidth="1"/>
    <col min="5124" max="5124" width="11" style="75" customWidth="1"/>
    <col min="5125" max="5125" width="15" style="75" customWidth="1"/>
    <col min="5126" max="5127" width="12.7109375" style="75" customWidth="1"/>
    <col min="5128" max="5128" width="12.85546875" style="75" customWidth="1"/>
    <col min="5129" max="5129" width="11.42578125" style="75" customWidth="1"/>
    <col min="5130" max="5130" width="14.140625" style="75" customWidth="1"/>
    <col min="5131" max="5131" width="7.7109375" style="75" customWidth="1"/>
    <col min="5132" max="5132" width="9.140625" style="75"/>
    <col min="5133" max="5133" width="12.140625" style="75" customWidth="1"/>
    <col min="5134" max="5134" width="22.140625" style="75" customWidth="1"/>
    <col min="5135" max="5376" width="9.140625" style="75"/>
    <col min="5377" max="5377" width="5.42578125" style="75" customWidth="1"/>
    <col min="5378" max="5378" width="7" style="75" customWidth="1"/>
    <col min="5379" max="5379" width="11.42578125" style="75" customWidth="1"/>
    <col min="5380" max="5380" width="11" style="75" customWidth="1"/>
    <col min="5381" max="5381" width="15" style="75" customWidth="1"/>
    <col min="5382" max="5383" width="12.7109375" style="75" customWidth="1"/>
    <col min="5384" max="5384" width="12.85546875" style="75" customWidth="1"/>
    <col min="5385" max="5385" width="11.42578125" style="75" customWidth="1"/>
    <col min="5386" max="5386" width="14.140625" style="75" customWidth="1"/>
    <col min="5387" max="5387" width="7.7109375" style="75" customWidth="1"/>
    <col min="5388" max="5388" width="9.140625" style="75"/>
    <col min="5389" max="5389" width="12.140625" style="75" customWidth="1"/>
    <col min="5390" max="5390" width="22.140625" style="75" customWidth="1"/>
    <col min="5391" max="5632" width="9.140625" style="75"/>
    <col min="5633" max="5633" width="5.42578125" style="75" customWidth="1"/>
    <col min="5634" max="5634" width="7" style="75" customWidth="1"/>
    <col min="5635" max="5635" width="11.42578125" style="75" customWidth="1"/>
    <col min="5636" max="5636" width="11" style="75" customWidth="1"/>
    <col min="5637" max="5637" width="15" style="75" customWidth="1"/>
    <col min="5638" max="5639" width="12.7109375" style="75" customWidth="1"/>
    <col min="5640" max="5640" width="12.85546875" style="75" customWidth="1"/>
    <col min="5641" max="5641" width="11.42578125" style="75" customWidth="1"/>
    <col min="5642" max="5642" width="14.140625" style="75" customWidth="1"/>
    <col min="5643" max="5643" width="7.7109375" style="75" customWidth="1"/>
    <col min="5644" max="5644" width="9.140625" style="75"/>
    <col min="5645" max="5645" width="12.140625" style="75" customWidth="1"/>
    <col min="5646" max="5646" width="22.140625" style="75" customWidth="1"/>
    <col min="5647" max="5888" width="9.140625" style="75"/>
    <col min="5889" max="5889" width="5.42578125" style="75" customWidth="1"/>
    <col min="5890" max="5890" width="7" style="75" customWidth="1"/>
    <col min="5891" max="5891" width="11.42578125" style="75" customWidth="1"/>
    <col min="5892" max="5892" width="11" style="75" customWidth="1"/>
    <col min="5893" max="5893" width="15" style="75" customWidth="1"/>
    <col min="5894" max="5895" width="12.7109375" style="75" customWidth="1"/>
    <col min="5896" max="5896" width="12.85546875" style="75" customWidth="1"/>
    <col min="5897" max="5897" width="11.42578125" style="75" customWidth="1"/>
    <col min="5898" max="5898" width="14.140625" style="75" customWidth="1"/>
    <col min="5899" max="5899" width="7.7109375" style="75" customWidth="1"/>
    <col min="5900" max="5900" width="9.140625" style="75"/>
    <col min="5901" max="5901" width="12.140625" style="75" customWidth="1"/>
    <col min="5902" max="5902" width="22.140625" style="75" customWidth="1"/>
    <col min="5903" max="6144" width="9.140625" style="75"/>
    <col min="6145" max="6145" width="5.42578125" style="75" customWidth="1"/>
    <col min="6146" max="6146" width="7" style="75" customWidth="1"/>
    <col min="6147" max="6147" width="11.42578125" style="75" customWidth="1"/>
    <col min="6148" max="6148" width="11" style="75" customWidth="1"/>
    <col min="6149" max="6149" width="15" style="75" customWidth="1"/>
    <col min="6150" max="6151" width="12.7109375" style="75" customWidth="1"/>
    <col min="6152" max="6152" width="12.85546875" style="75" customWidth="1"/>
    <col min="6153" max="6153" width="11.42578125" style="75" customWidth="1"/>
    <col min="6154" max="6154" width="14.140625" style="75" customWidth="1"/>
    <col min="6155" max="6155" width="7.7109375" style="75" customWidth="1"/>
    <col min="6156" max="6156" width="9.140625" style="75"/>
    <col min="6157" max="6157" width="12.140625" style="75" customWidth="1"/>
    <col min="6158" max="6158" width="22.140625" style="75" customWidth="1"/>
    <col min="6159" max="6400" width="9.140625" style="75"/>
    <col min="6401" max="6401" width="5.42578125" style="75" customWidth="1"/>
    <col min="6402" max="6402" width="7" style="75" customWidth="1"/>
    <col min="6403" max="6403" width="11.42578125" style="75" customWidth="1"/>
    <col min="6404" max="6404" width="11" style="75" customWidth="1"/>
    <col min="6405" max="6405" width="15" style="75" customWidth="1"/>
    <col min="6406" max="6407" width="12.7109375" style="75" customWidth="1"/>
    <col min="6408" max="6408" width="12.85546875" style="75" customWidth="1"/>
    <col min="6409" max="6409" width="11.42578125" style="75" customWidth="1"/>
    <col min="6410" max="6410" width="14.140625" style="75" customWidth="1"/>
    <col min="6411" max="6411" width="7.7109375" style="75" customWidth="1"/>
    <col min="6412" max="6412" width="9.140625" style="75"/>
    <col min="6413" max="6413" width="12.140625" style="75" customWidth="1"/>
    <col min="6414" max="6414" width="22.140625" style="75" customWidth="1"/>
    <col min="6415" max="6656" width="9.140625" style="75"/>
    <col min="6657" max="6657" width="5.42578125" style="75" customWidth="1"/>
    <col min="6658" max="6658" width="7" style="75" customWidth="1"/>
    <col min="6659" max="6659" width="11.42578125" style="75" customWidth="1"/>
    <col min="6660" max="6660" width="11" style="75" customWidth="1"/>
    <col min="6661" max="6661" width="15" style="75" customWidth="1"/>
    <col min="6662" max="6663" width="12.7109375" style="75" customWidth="1"/>
    <col min="6664" max="6664" width="12.85546875" style="75" customWidth="1"/>
    <col min="6665" max="6665" width="11.42578125" style="75" customWidth="1"/>
    <col min="6666" max="6666" width="14.140625" style="75" customWidth="1"/>
    <col min="6667" max="6667" width="7.7109375" style="75" customWidth="1"/>
    <col min="6668" max="6668" width="9.140625" style="75"/>
    <col min="6669" max="6669" width="12.140625" style="75" customWidth="1"/>
    <col min="6670" max="6670" width="22.140625" style="75" customWidth="1"/>
    <col min="6671" max="6912" width="9.140625" style="75"/>
    <col min="6913" max="6913" width="5.42578125" style="75" customWidth="1"/>
    <col min="6914" max="6914" width="7" style="75" customWidth="1"/>
    <col min="6915" max="6915" width="11.42578125" style="75" customWidth="1"/>
    <col min="6916" max="6916" width="11" style="75" customWidth="1"/>
    <col min="6917" max="6917" width="15" style="75" customWidth="1"/>
    <col min="6918" max="6919" width="12.7109375" style="75" customWidth="1"/>
    <col min="6920" max="6920" width="12.85546875" style="75" customWidth="1"/>
    <col min="6921" max="6921" width="11.42578125" style="75" customWidth="1"/>
    <col min="6922" max="6922" width="14.140625" style="75" customWidth="1"/>
    <col min="6923" max="6923" width="7.7109375" style="75" customWidth="1"/>
    <col min="6924" max="6924" width="9.140625" style="75"/>
    <col min="6925" max="6925" width="12.140625" style="75" customWidth="1"/>
    <col min="6926" max="6926" width="22.140625" style="75" customWidth="1"/>
    <col min="6927" max="7168" width="9.140625" style="75"/>
    <col min="7169" max="7169" width="5.42578125" style="75" customWidth="1"/>
    <col min="7170" max="7170" width="7" style="75" customWidth="1"/>
    <col min="7171" max="7171" width="11.42578125" style="75" customWidth="1"/>
    <col min="7172" max="7172" width="11" style="75" customWidth="1"/>
    <col min="7173" max="7173" width="15" style="75" customWidth="1"/>
    <col min="7174" max="7175" width="12.7109375" style="75" customWidth="1"/>
    <col min="7176" max="7176" width="12.85546875" style="75" customWidth="1"/>
    <col min="7177" max="7177" width="11.42578125" style="75" customWidth="1"/>
    <col min="7178" max="7178" width="14.140625" style="75" customWidth="1"/>
    <col min="7179" max="7179" width="7.7109375" style="75" customWidth="1"/>
    <col min="7180" max="7180" width="9.140625" style="75"/>
    <col min="7181" max="7181" width="12.140625" style="75" customWidth="1"/>
    <col min="7182" max="7182" width="22.140625" style="75" customWidth="1"/>
    <col min="7183" max="7424" width="9.140625" style="75"/>
    <col min="7425" max="7425" width="5.42578125" style="75" customWidth="1"/>
    <col min="7426" max="7426" width="7" style="75" customWidth="1"/>
    <col min="7427" max="7427" width="11.42578125" style="75" customWidth="1"/>
    <col min="7428" max="7428" width="11" style="75" customWidth="1"/>
    <col min="7429" max="7429" width="15" style="75" customWidth="1"/>
    <col min="7430" max="7431" width="12.7109375" style="75" customWidth="1"/>
    <col min="7432" max="7432" width="12.85546875" style="75" customWidth="1"/>
    <col min="7433" max="7433" width="11.42578125" style="75" customWidth="1"/>
    <col min="7434" max="7434" width="14.140625" style="75" customWidth="1"/>
    <col min="7435" max="7435" width="7.7109375" style="75" customWidth="1"/>
    <col min="7436" max="7436" width="9.140625" style="75"/>
    <col min="7437" max="7437" width="12.140625" style="75" customWidth="1"/>
    <col min="7438" max="7438" width="22.140625" style="75" customWidth="1"/>
    <col min="7439" max="7680" width="9.140625" style="75"/>
    <col min="7681" max="7681" width="5.42578125" style="75" customWidth="1"/>
    <col min="7682" max="7682" width="7" style="75" customWidth="1"/>
    <col min="7683" max="7683" width="11.42578125" style="75" customWidth="1"/>
    <col min="7684" max="7684" width="11" style="75" customWidth="1"/>
    <col min="7685" max="7685" width="15" style="75" customWidth="1"/>
    <col min="7686" max="7687" width="12.7109375" style="75" customWidth="1"/>
    <col min="7688" max="7688" width="12.85546875" style="75" customWidth="1"/>
    <col min="7689" max="7689" width="11.42578125" style="75" customWidth="1"/>
    <col min="7690" max="7690" width="14.140625" style="75" customWidth="1"/>
    <col min="7691" max="7691" width="7.7109375" style="75" customWidth="1"/>
    <col min="7692" max="7692" width="9.140625" style="75"/>
    <col min="7693" max="7693" width="12.140625" style="75" customWidth="1"/>
    <col min="7694" max="7694" width="22.140625" style="75" customWidth="1"/>
    <col min="7695" max="7936" width="9.140625" style="75"/>
    <col min="7937" max="7937" width="5.42578125" style="75" customWidth="1"/>
    <col min="7938" max="7938" width="7" style="75" customWidth="1"/>
    <col min="7939" max="7939" width="11.42578125" style="75" customWidth="1"/>
    <col min="7940" max="7940" width="11" style="75" customWidth="1"/>
    <col min="7941" max="7941" width="15" style="75" customWidth="1"/>
    <col min="7942" max="7943" width="12.7109375" style="75" customWidth="1"/>
    <col min="7944" max="7944" width="12.85546875" style="75" customWidth="1"/>
    <col min="7945" max="7945" width="11.42578125" style="75" customWidth="1"/>
    <col min="7946" max="7946" width="14.140625" style="75" customWidth="1"/>
    <col min="7947" max="7947" width="7.7109375" style="75" customWidth="1"/>
    <col min="7948" max="7948" width="9.140625" style="75"/>
    <col min="7949" max="7949" width="12.140625" style="75" customWidth="1"/>
    <col min="7950" max="7950" width="22.140625" style="75" customWidth="1"/>
    <col min="7951" max="8192" width="9.140625" style="75"/>
    <col min="8193" max="8193" width="5.42578125" style="75" customWidth="1"/>
    <col min="8194" max="8194" width="7" style="75" customWidth="1"/>
    <col min="8195" max="8195" width="11.42578125" style="75" customWidth="1"/>
    <col min="8196" max="8196" width="11" style="75" customWidth="1"/>
    <col min="8197" max="8197" width="15" style="75" customWidth="1"/>
    <col min="8198" max="8199" width="12.7109375" style="75" customWidth="1"/>
    <col min="8200" max="8200" width="12.85546875" style="75" customWidth="1"/>
    <col min="8201" max="8201" width="11.42578125" style="75" customWidth="1"/>
    <col min="8202" max="8202" width="14.140625" style="75" customWidth="1"/>
    <col min="8203" max="8203" width="7.7109375" style="75" customWidth="1"/>
    <col min="8204" max="8204" width="9.140625" style="75"/>
    <col min="8205" max="8205" width="12.140625" style="75" customWidth="1"/>
    <col min="8206" max="8206" width="22.140625" style="75" customWidth="1"/>
    <col min="8207" max="8448" width="9.140625" style="75"/>
    <col min="8449" max="8449" width="5.42578125" style="75" customWidth="1"/>
    <col min="8450" max="8450" width="7" style="75" customWidth="1"/>
    <col min="8451" max="8451" width="11.42578125" style="75" customWidth="1"/>
    <col min="8452" max="8452" width="11" style="75" customWidth="1"/>
    <col min="8453" max="8453" width="15" style="75" customWidth="1"/>
    <col min="8454" max="8455" width="12.7109375" style="75" customWidth="1"/>
    <col min="8456" max="8456" width="12.85546875" style="75" customWidth="1"/>
    <col min="8457" max="8457" width="11.42578125" style="75" customWidth="1"/>
    <col min="8458" max="8458" width="14.140625" style="75" customWidth="1"/>
    <col min="8459" max="8459" width="7.7109375" style="75" customWidth="1"/>
    <col min="8460" max="8460" width="9.140625" style="75"/>
    <col min="8461" max="8461" width="12.140625" style="75" customWidth="1"/>
    <col min="8462" max="8462" width="22.140625" style="75" customWidth="1"/>
    <col min="8463" max="8704" width="9.140625" style="75"/>
    <col min="8705" max="8705" width="5.42578125" style="75" customWidth="1"/>
    <col min="8706" max="8706" width="7" style="75" customWidth="1"/>
    <col min="8707" max="8707" width="11.42578125" style="75" customWidth="1"/>
    <col min="8708" max="8708" width="11" style="75" customWidth="1"/>
    <col min="8709" max="8709" width="15" style="75" customWidth="1"/>
    <col min="8710" max="8711" width="12.7109375" style="75" customWidth="1"/>
    <col min="8712" max="8712" width="12.85546875" style="75" customWidth="1"/>
    <col min="8713" max="8713" width="11.42578125" style="75" customWidth="1"/>
    <col min="8714" max="8714" width="14.140625" style="75" customWidth="1"/>
    <col min="8715" max="8715" width="7.7109375" style="75" customWidth="1"/>
    <col min="8716" max="8716" width="9.140625" style="75"/>
    <col min="8717" max="8717" width="12.140625" style="75" customWidth="1"/>
    <col min="8718" max="8718" width="22.140625" style="75" customWidth="1"/>
    <col min="8719" max="8960" width="9.140625" style="75"/>
    <col min="8961" max="8961" width="5.42578125" style="75" customWidth="1"/>
    <col min="8962" max="8962" width="7" style="75" customWidth="1"/>
    <col min="8963" max="8963" width="11.42578125" style="75" customWidth="1"/>
    <col min="8964" max="8964" width="11" style="75" customWidth="1"/>
    <col min="8965" max="8965" width="15" style="75" customWidth="1"/>
    <col min="8966" max="8967" width="12.7109375" style="75" customWidth="1"/>
    <col min="8968" max="8968" width="12.85546875" style="75" customWidth="1"/>
    <col min="8969" max="8969" width="11.42578125" style="75" customWidth="1"/>
    <col min="8970" max="8970" width="14.140625" style="75" customWidth="1"/>
    <col min="8971" max="8971" width="7.7109375" style="75" customWidth="1"/>
    <col min="8972" max="8972" width="9.140625" style="75"/>
    <col min="8973" max="8973" width="12.140625" style="75" customWidth="1"/>
    <col min="8974" max="8974" width="22.140625" style="75" customWidth="1"/>
    <col min="8975" max="9216" width="9.140625" style="75"/>
    <col min="9217" max="9217" width="5.42578125" style="75" customWidth="1"/>
    <col min="9218" max="9218" width="7" style="75" customWidth="1"/>
    <col min="9219" max="9219" width="11.42578125" style="75" customWidth="1"/>
    <col min="9220" max="9220" width="11" style="75" customWidth="1"/>
    <col min="9221" max="9221" width="15" style="75" customWidth="1"/>
    <col min="9222" max="9223" width="12.7109375" style="75" customWidth="1"/>
    <col min="9224" max="9224" width="12.85546875" style="75" customWidth="1"/>
    <col min="9225" max="9225" width="11.42578125" style="75" customWidth="1"/>
    <col min="9226" max="9226" width="14.140625" style="75" customWidth="1"/>
    <col min="9227" max="9227" width="7.7109375" style="75" customWidth="1"/>
    <col min="9228" max="9228" width="9.140625" style="75"/>
    <col min="9229" max="9229" width="12.140625" style="75" customWidth="1"/>
    <col min="9230" max="9230" width="22.140625" style="75" customWidth="1"/>
    <col min="9231" max="9472" width="9.140625" style="75"/>
    <col min="9473" max="9473" width="5.42578125" style="75" customWidth="1"/>
    <col min="9474" max="9474" width="7" style="75" customWidth="1"/>
    <col min="9475" max="9475" width="11.42578125" style="75" customWidth="1"/>
    <col min="9476" max="9476" width="11" style="75" customWidth="1"/>
    <col min="9477" max="9477" width="15" style="75" customWidth="1"/>
    <col min="9478" max="9479" width="12.7109375" style="75" customWidth="1"/>
    <col min="9480" max="9480" width="12.85546875" style="75" customWidth="1"/>
    <col min="9481" max="9481" width="11.42578125" style="75" customWidth="1"/>
    <col min="9482" max="9482" width="14.140625" style="75" customWidth="1"/>
    <col min="9483" max="9483" width="7.7109375" style="75" customWidth="1"/>
    <col min="9484" max="9484" width="9.140625" style="75"/>
    <col min="9485" max="9485" width="12.140625" style="75" customWidth="1"/>
    <col min="9486" max="9486" width="22.140625" style="75" customWidth="1"/>
    <col min="9487" max="9728" width="9.140625" style="75"/>
    <col min="9729" max="9729" width="5.42578125" style="75" customWidth="1"/>
    <col min="9730" max="9730" width="7" style="75" customWidth="1"/>
    <col min="9731" max="9731" width="11.42578125" style="75" customWidth="1"/>
    <col min="9732" max="9732" width="11" style="75" customWidth="1"/>
    <col min="9733" max="9733" width="15" style="75" customWidth="1"/>
    <col min="9734" max="9735" width="12.7109375" style="75" customWidth="1"/>
    <col min="9736" max="9736" width="12.85546875" style="75" customWidth="1"/>
    <col min="9737" max="9737" width="11.42578125" style="75" customWidth="1"/>
    <col min="9738" max="9738" width="14.140625" style="75" customWidth="1"/>
    <col min="9739" max="9739" width="7.7109375" style="75" customWidth="1"/>
    <col min="9740" max="9740" width="9.140625" style="75"/>
    <col min="9741" max="9741" width="12.140625" style="75" customWidth="1"/>
    <col min="9742" max="9742" width="22.140625" style="75" customWidth="1"/>
    <col min="9743" max="9984" width="9.140625" style="75"/>
    <col min="9985" max="9985" width="5.42578125" style="75" customWidth="1"/>
    <col min="9986" max="9986" width="7" style="75" customWidth="1"/>
    <col min="9987" max="9987" width="11.42578125" style="75" customWidth="1"/>
    <col min="9988" max="9988" width="11" style="75" customWidth="1"/>
    <col min="9989" max="9989" width="15" style="75" customWidth="1"/>
    <col min="9990" max="9991" width="12.7109375" style="75" customWidth="1"/>
    <col min="9992" max="9992" width="12.85546875" style="75" customWidth="1"/>
    <col min="9993" max="9993" width="11.42578125" style="75" customWidth="1"/>
    <col min="9994" max="9994" width="14.140625" style="75" customWidth="1"/>
    <col min="9995" max="9995" width="7.7109375" style="75" customWidth="1"/>
    <col min="9996" max="9996" width="9.140625" style="75"/>
    <col min="9997" max="9997" width="12.140625" style="75" customWidth="1"/>
    <col min="9998" max="9998" width="22.140625" style="75" customWidth="1"/>
    <col min="9999" max="10240" width="9.140625" style="75"/>
    <col min="10241" max="10241" width="5.42578125" style="75" customWidth="1"/>
    <col min="10242" max="10242" width="7" style="75" customWidth="1"/>
    <col min="10243" max="10243" width="11.42578125" style="75" customWidth="1"/>
    <col min="10244" max="10244" width="11" style="75" customWidth="1"/>
    <col min="10245" max="10245" width="15" style="75" customWidth="1"/>
    <col min="10246" max="10247" width="12.7109375" style="75" customWidth="1"/>
    <col min="10248" max="10248" width="12.85546875" style="75" customWidth="1"/>
    <col min="10249" max="10249" width="11.42578125" style="75" customWidth="1"/>
    <col min="10250" max="10250" width="14.140625" style="75" customWidth="1"/>
    <col min="10251" max="10251" width="7.7109375" style="75" customWidth="1"/>
    <col min="10252" max="10252" width="9.140625" style="75"/>
    <col min="10253" max="10253" width="12.140625" style="75" customWidth="1"/>
    <col min="10254" max="10254" width="22.140625" style="75" customWidth="1"/>
    <col min="10255" max="10496" width="9.140625" style="75"/>
    <col min="10497" max="10497" width="5.42578125" style="75" customWidth="1"/>
    <col min="10498" max="10498" width="7" style="75" customWidth="1"/>
    <col min="10499" max="10499" width="11.42578125" style="75" customWidth="1"/>
    <col min="10500" max="10500" width="11" style="75" customWidth="1"/>
    <col min="10501" max="10501" width="15" style="75" customWidth="1"/>
    <col min="10502" max="10503" width="12.7109375" style="75" customWidth="1"/>
    <col min="10504" max="10504" width="12.85546875" style="75" customWidth="1"/>
    <col min="10505" max="10505" width="11.42578125" style="75" customWidth="1"/>
    <col min="10506" max="10506" width="14.140625" style="75" customWidth="1"/>
    <col min="10507" max="10507" width="7.7109375" style="75" customWidth="1"/>
    <col min="10508" max="10508" width="9.140625" style="75"/>
    <col min="10509" max="10509" width="12.140625" style="75" customWidth="1"/>
    <col min="10510" max="10510" width="22.140625" style="75" customWidth="1"/>
    <col min="10511" max="10752" width="9.140625" style="75"/>
    <col min="10753" max="10753" width="5.42578125" style="75" customWidth="1"/>
    <col min="10754" max="10754" width="7" style="75" customWidth="1"/>
    <col min="10755" max="10755" width="11.42578125" style="75" customWidth="1"/>
    <col min="10756" max="10756" width="11" style="75" customWidth="1"/>
    <col min="10757" max="10757" width="15" style="75" customWidth="1"/>
    <col min="10758" max="10759" width="12.7109375" style="75" customWidth="1"/>
    <col min="10760" max="10760" width="12.85546875" style="75" customWidth="1"/>
    <col min="10761" max="10761" width="11.42578125" style="75" customWidth="1"/>
    <col min="10762" max="10762" width="14.140625" style="75" customWidth="1"/>
    <col min="10763" max="10763" width="7.7109375" style="75" customWidth="1"/>
    <col min="10764" max="10764" width="9.140625" style="75"/>
    <col min="10765" max="10765" width="12.140625" style="75" customWidth="1"/>
    <col min="10766" max="10766" width="22.140625" style="75" customWidth="1"/>
    <col min="10767" max="11008" width="9.140625" style="75"/>
    <col min="11009" max="11009" width="5.42578125" style="75" customWidth="1"/>
    <col min="11010" max="11010" width="7" style="75" customWidth="1"/>
    <col min="11011" max="11011" width="11.42578125" style="75" customWidth="1"/>
    <col min="11012" max="11012" width="11" style="75" customWidth="1"/>
    <col min="11013" max="11013" width="15" style="75" customWidth="1"/>
    <col min="11014" max="11015" width="12.7109375" style="75" customWidth="1"/>
    <col min="11016" max="11016" width="12.85546875" style="75" customWidth="1"/>
    <col min="11017" max="11017" width="11.42578125" style="75" customWidth="1"/>
    <col min="11018" max="11018" width="14.140625" style="75" customWidth="1"/>
    <col min="11019" max="11019" width="7.7109375" style="75" customWidth="1"/>
    <col min="11020" max="11020" width="9.140625" style="75"/>
    <col min="11021" max="11021" width="12.140625" style="75" customWidth="1"/>
    <col min="11022" max="11022" width="22.140625" style="75" customWidth="1"/>
    <col min="11023" max="11264" width="9.140625" style="75"/>
    <col min="11265" max="11265" width="5.42578125" style="75" customWidth="1"/>
    <col min="11266" max="11266" width="7" style="75" customWidth="1"/>
    <col min="11267" max="11267" width="11.42578125" style="75" customWidth="1"/>
    <col min="11268" max="11268" width="11" style="75" customWidth="1"/>
    <col min="11269" max="11269" width="15" style="75" customWidth="1"/>
    <col min="11270" max="11271" width="12.7109375" style="75" customWidth="1"/>
    <col min="11272" max="11272" width="12.85546875" style="75" customWidth="1"/>
    <col min="11273" max="11273" width="11.42578125" style="75" customWidth="1"/>
    <col min="11274" max="11274" width="14.140625" style="75" customWidth="1"/>
    <col min="11275" max="11275" width="7.7109375" style="75" customWidth="1"/>
    <col min="11276" max="11276" width="9.140625" style="75"/>
    <col min="11277" max="11277" width="12.140625" style="75" customWidth="1"/>
    <col min="11278" max="11278" width="22.140625" style="75" customWidth="1"/>
    <col min="11279" max="11520" width="9.140625" style="75"/>
    <col min="11521" max="11521" width="5.42578125" style="75" customWidth="1"/>
    <col min="11522" max="11522" width="7" style="75" customWidth="1"/>
    <col min="11523" max="11523" width="11.42578125" style="75" customWidth="1"/>
    <col min="11524" max="11524" width="11" style="75" customWidth="1"/>
    <col min="11525" max="11525" width="15" style="75" customWidth="1"/>
    <col min="11526" max="11527" width="12.7109375" style="75" customWidth="1"/>
    <col min="11528" max="11528" width="12.85546875" style="75" customWidth="1"/>
    <col min="11529" max="11529" width="11.42578125" style="75" customWidth="1"/>
    <col min="11530" max="11530" width="14.140625" style="75" customWidth="1"/>
    <col min="11531" max="11531" width="7.7109375" style="75" customWidth="1"/>
    <col min="11532" max="11532" width="9.140625" style="75"/>
    <col min="11533" max="11533" width="12.140625" style="75" customWidth="1"/>
    <col min="11534" max="11534" width="22.140625" style="75" customWidth="1"/>
    <col min="11535" max="11776" width="9.140625" style="75"/>
    <col min="11777" max="11777" width="5.42578125" style="75" customWidth="1"/>
    <col min="11778" max="11778" width="7" style="75" customWidth="1"/>
    <col min="11779" max="11779" width="11.42578125" style="75" customWidth="1"/>
    <col min="11780" max="11780" width="11" style="75" customWidth="1"/>
    <col min="11781" max="11781" width="15" style="75" customWidth="1"/>
    <col min="11782" max="11783" width="12.7109375" style="75" customWidth="1"/>
    <col min="11784" max="11784" width="12.85546875" style="75" customWidth="1"/>
    <col min="11785" max="11785" width="11.42578125" style="75" customWidth="1"/>
    <col min="11786" max="11786" width="14.140625" style="75" customWidth="1"/>
    <col min="11787" max="11787" width="7.7109375" style="75" customWidth="1"/>
    <col min="11788" max="11788" width="9.140625" style="75"/>
    <col min="11789" max="11789" width="12.140625" style="75" customWidth="1"/>
    <col min="11790" max="11790" width="22.140625" style="75" customWidth="1"/>
    <col min="11791" max="12032" width="9.140625" style="75"/>
    <col min="12033" max="12033" width="5.42578125" style="75" customWidth="1"/>
    <col min="12034" max="12034" width="7" style="75" customWidth="1"/>
    <col min="12035" max="12035" width="11.42578125" style="75" customWidth="1"/>
    <col min="12036" max="12036" width="11" style="75" customWidth="1"/>
    <col min="12037" max="12037" width="15" style="75" customWidth="1"/>
    <col min="12038" max="12039" width="12.7109375" style="75" customWidth="1"/>
    <col min="12040" max="12040" width="12.85546875" style="75" customWidth="1"/>
    <col min="12041" max="12041" width="11.42578125" style="75" customWidth="1"/>
    <col min="12042" max="12042" width="14.140625" style="75" customWidth="1"/>
    <col min="12043" max="12043" width="7.7109375" style="75" customWidth="1"/>
    <col min="12044" max="12044" width="9.140625" style="75"/>
    <col min="12045" max="12045" width="12.140625" style="75" customWidth="1"/>
    <col min="12046" max="12046" width="22.140625" style="75" customWidth="1"/>
    <col min="12047" max="12288" width="9.140625" style="75"/>
    <col min="12289" max="12289" width="5.42578125" style="75" customWidth="1"/>
    <col min="12290" max="12290" width="7" style="75" customWidth="1"/>
    <col min="12291" max="12291" width="11.42578125" style="75" customWidth="1"/>
    <col min="12292" max="12292" width="11" style="75" customWidth="1"/>
    <col min="12293" max="12293" width="15" style="75" customWidth="1"/>
    <col min="12294" max="12295" width="12.7109375" style="75" customWidth="1"/>
    <col min="12296" max="12296" width="12.85546875" style="75" customWidth="1"/>
    <col min="12297" max="12297" width="11.42578125" style="75" customWidth="1"/>
    <col min="12298" max="12298" width="14.140625" style="75" customWidth="1"/>
    <col min="12299" max="12299" width="7.7109375" style="75" customWidth="1"/>
    <col min="12300" max="12300" width="9.140625" style="75"/>
    <col min="12301" max="12301" width="12.140625" style="75" customWidth="1"/>
    <col min="12302" max="12302" width="22.140625" style="75" customWidth="1"/>
    <col min="12303" max="12544" width="9.140625" style="75"/>
    <col min="12545" max="12545" width="5.42578125" style="75" customWidth="1"/>
    <col min="12546" max="12546" width="7" style="75" customWidth="1"/>
    <col min="12547" max="12547" width="11.42578125" style="75" customWidth="1"/>
    <col min="12548" max="12548" width="11" style="75" customWidth="1"/>
    <col min="12549" max="12549" width="15" style="75" customWidth="1"/>
    <col min="12550" max="12551" width="12.7109375" style="75" customWidth="1"/>
    <col min="12552" max="12552" width="12.85546875" style="75" customWidth="1"/>
    <col min="12553" max="12553" width="11.42578125" style="75" customWidth="1"/>
    <col min="12554" max="12554" width="14.140625" style="75" customWidth="1"/>
    <col min="12555" max="12555" width="7.7109375" style="75" customWidth="1"/>
    <col min="12556" max="12556" width="9.140625" style="75"/>
    <col min="12557" max="12557" width="12.140625" style="75" customWidth="1"/>
    <col min="12558" max="12558" width="22.140625" style="75" customWidth="1"/>
    <col min="12559" max="12800" width="9.140625" style="75"/>
    <col min="12801" max="12801" width="5.42578125" style="75" customWidth="1"/>
    <col min="12802" max="12802" width="7" style="75" customWidth="1"/>
    <col min="12803" max="12803" width="11.42578125" style="75" customWidth="1"/>
    <col min="12804" max="12804" width="11" style="75" customWidth="1"/>
    <col min="12805" max="12805" width="15" style="75" customWidth="1"/>
    <col min="12806" max="12807" width="12.7109375" style="75" customWidth="1"/>
    <col min="12808" max="12808" width="12.85546875" style="75" customWidth="1"/>
    <col min="12809" max="12809" width="11.42578125" style="75" customWidth="1"/>
    <col min="12810" max="12810" width="14.140625" style="75" customWidth="1"/>
    <col min="12811" max="12811" width="7.7109375" style="75" customWidth="1"/>
    <col min="12812" max="12812" width="9.140625" style="75"/>
    <col min="12813" max="12813" width="12.140625" style="75" customWidth="1"/>
    <col min="12814" max="12814" width="22.140625" style="75" customWidth="1"/>
    <col min="12815" max="13056" width="9.140625" style="75"/>
    <col min="13057" max="13057" width="5.42578125" style="75" customWidth="1"/>
    <col min="13058" max="13058" width="7" style="75" customWidth="1"/>
    <col min="13059" max="13059" width="11.42578125" style="75" customWidth="1"/>
    <col min="13060" max="13060" width="11" style="75" customWidth="1"/>
    <col min="13061" max="13061" width="15" style="75" customWidth="1"/>
    <col min="13062" max="13063" width="12.7109375" style="75" customWidth="1"/>
    <col min="13064" max="13064" width="12.85546875" style="75" customWidth="1"/>
    <col min="13065" max="13065" width="11.42578125" style="75" customWidth="1"/>
    <col min="13066" max="13066" width="14.140625" style="75" customWidth="1"/>
    <col min="13067" max="13067" width="7.7109375" style="75" customWidth="1"/>
    <col min="13068" max="13068" width="9.140625" style="75"/>
    <col min="13069" max="13069" width="12.140625" style="75" customWidth="1"/>
    <col min="13070" max="13070" width="22.140625" style="75" customWidth="1"/>
    <col min="13071" max="13312" width="9.140625" style="75"/>
    <col min="13313" max="13313" width="5.42578125" style="75" customWidth="1"/>
    <col min="13314" max="13314" width="7" style="75" customWidth="1"/>
    <col min="13315" max="13315" width="11.42578125" style="75" customWidth="1"/>
    <col min="13316" max="13316" width="11" style="75" customWidth="1"/>
    <col min="13317" max="13317" width="15" style="75" customWidth="1"/>
    <col min="13318" max="13319" width="12.7109375" style="75" customWidth="1"/>
    <col min="13320" max="13320" width="12.85546875" style="75" customWidth="1"/>
    <col min="13321" max="13321" width="11.42578125" style="75" customWidth="1"/>
    <col min="13322" max="13322" width="14.140625" style="75" customWidth="1"/>
    <col min="13323" max="13323" width="7.7109375" style="75" customWidth="1"/>
    <col min="13324" max="13324" width="9.140625" style="75"/>
    <col min="13325" max="13325" width="12.140625" style="75" customWidth="1"/>
    <col min="13326" max="13326" width="22.140625" style="75" customWidth="1"/>
    <col min="13327" max="13568" width="9.140625" style="75"/>
    <col min="13569" max="13569" width="5.42578125" style="75" customWidth="1"/>
    <col min="13570" max="13570" width="7" style="75" customWidth="1"/>
    <col min="13571" max="13571" width="11.42578125" style="75" customWidth="1"/>
    <col min="13572" max="13572" width="11" style="75" customWidth="1"/>
    <col min="13573" max="13573" width="15" style="75" customWidth="1"/>
    <col min="13574" max="13575" width="12.7109375" style="75" customWidth="1"/>
    <col min="13576" max="13576" width="12.85546875" style="75" customWidth="1"/>
    <col min="13577" max="13577" width="11.42578125" style="75" customWidth="1"/>
    <col min="13578" max="13578" width="14.140625" style="75" customWidth="1"/>
    <col min="13579" max="13579" width="7.7109375" style="75" customWidth="1"/>
    <col min="13580" max="13580" width="9.140625" style="75"/>
    <col min="13581" max="13581" width="12.140625" style="75" customWidth="1"/>
    <col min="13582" max="13582" width="22.140625" style="75" customWidth="1"/>
    <col min="13583" max="13824" width="9.140625" style="75"/>
    <col min="13825" max="13825" width="5.42578125" style="75" customWidth="1"/>
    <col min="13826" max="13826" width="7" style="75" customWidth="1"/>
    <col min="13827" max="13827" width="11.42578125" style="75" customWidth="1"/>
    <col min="13828" max="13828" width="11" style="75" customWidth="1"/>
    <col min="13829" max="13829" width="15" style="75" customWidth="1"/>
    <col min="13830" max="13831" width="12.7109375" style="75" customWidth="1"/>
    <col min="13832" max="13832" width="12.85546875" style="75" customWidth="1"/>
    <col min="13833" max="13833" width="11.42578125" style="75" customWidth="1"/>
    <col min="13834" max="13834" width="14.140625" style="75" customWidth="1"/>
    <col min="13835" max="13835" width="7.7109375" style="75" customWidth="1"/>
    <col min="13836" max="13836" width="9.140625" style="75"/>
    <col min="13837" max="13837" width="12.140625" style="75" customWidth="1"/>
    <col min="13838" max="13838" width="22.140625" style="75" customWidth="1"/>
    <col min="13839" max="14080" width="9.140625" style="75"/>
    <col min="14081" max="14081" width="5.42578125" style="75" customWidth="1"/>
    <col min="14082" max="14082" width="7" style="75" customWidth="1"/>
    <col min="14083" max="14083" width="11.42578125" style="75" customWidth="1"/>
    <col min="14084" max="14084" width="11" style="75" customWidth="1"/>
    <col min="14085" max="14085" width="15" style="75" customWidth="1"/>
    <col min="14086" max="14087" width="12.7109375" style="75" customWidth="1"/>
    <col min="14088" max="14088" width="12.85546875" style="75" customWidth="1"/>
    <col min="14089" max="14089" width="11.42578125" style="75" customWidth="1"/>
    <col min="14090" max="14090" width="14.140625" style="75" customWidth="1"/>
    <col min="14091" max="14091" width="7.7109375" style="75" customWidth="1"/>
    <col min="14092" max="14092" width="9.140625" style="75"/>
    <col min="14093" max="14093" width="12.140625" style="75" customWidth="1"/>
    <col min="14094" max="14094" width="22.140625" style="75" customWidth="1"/>
    <col min="14095" max="14336" width="9.140625" style="75"/>
    <col min="14337" max="14337" width="5.42578125" style="75" customWidth="1"/>
    <col min="14338" max="14338" width="7" style="75" customWidth="1"/>
    <col min="14339" max="14339" width="11.42578125" style="75" customWidth="1"/>
    <col min="14340" max="14340" width="11" style="75" customWidth="1"/>
    <col min="14341" max="14341" width="15" style="75" customWidth="1"/>
    <col min="14342" max="14343" width="12.7109375" style="75" customWidth="1"/>
    <col min="14344" max="14344" width="12.85546875" style="75" customWidth="1"/>
    <col min="14345" max="14345" width="11.42578125" style="75" customWidth="1"/>
    <col min="14346" max="14346" width="14.140625" style="75" customWidth="1"/>
    <col min="14347" max="14347" width="7.7109375" style="75" customWidth="1"/>
    <col min="14348" max="14348" width="9.140625" style="75"/>
    <col min="14349" max="14349" width="12.140625" style="75" customWidth="1"/>
    <col min="14350" max="14350" width="22.140625" style="75" customWidth="1"/>
    <col min="14351" max="14592" width="9.140625" style="75"/>
    <col min="14593" max="14593" width="5.42578125" style="75" customWidth="1"/>
    <col min="14594" max="14594" width="7" style="75" customWidth="1"/>
    <col min="14595" max="14595" width="11.42578125" style="75" customWidth="1"/>
    <col min="14596" max="14596" width="11" style="75" customWidth="1"/>
    <col min="14597" max="14597" width="15" style="75" customWidth="1"/>
    <col min="14598" max="14599" width="12.7109375" style="75" customWidth="1"/>
    <col min="14600" max="14600" width="12.85546875" style="75" customWidth="1"/>
    <col min="14601" max="14601" width="11.42578125" style="75" customWidth="1"/>
    <col min="14602" max="14602" width="14.140625" style="75" customWidth="1"/>
    <col min="14603" max="14603" width="7.7109375" style="75" customWidth="1"/>
    <col min="14604" max="14604" width="9.140625" style="75"/>
    <col min="14605" max="14605" width="12.140625" style="75" customWidth="1"/>
    <col min="14606" max="14606" width="22.140625" style="75" customWidth="1"/>
    <col min="14607" max="14848" width="9.140625" style="75"/>
    <col min="14849" max="14849" width="5.42578125" style="75" customWidth="1"/>
    <col min="14850" max="14850" width="7" style="75" customWidth="1"/>
    <col min="14851" max="14851" width="11.42578125" style="75" customWidth="1"/>
    <col min="14852" max="14852" width="11" style="75" customWidth="1"/>
    <col min="14853" max="14853" width="15" style="75" customWidth="1"/>
    <col min="14854" max="14855" width="12.7109375" style="75" customWidth="1"/>
    <col min="14856" max="14856" width="12.85546875" style="75" customWidth="1"/>
    <col min="14857" max="14857" width="11.42578125" style="75" customWidth="1"/>
    <col min="14858" max="14858" width="14.140625" style="75" customWidth="1"/>
    <col min="14859" max="14859" width="7.7109375" style="75" customWidth="1"/>
    <col min="14860" max="14860" width="9.140625" style="75"/>
    <col min="14861" max="14861" width="12.140625" style="75" customWidth="1"/>
    <col min="14862" max="14862" width="22.140625" style="75" customWidth="1"/>
    <col min="14863" max="15104" width="9.140625" style="75"/>
    <col min="15105" max="15105" width="5.42578125" style="75" customWidth="1"/>
    <col min="15106" max="15106" width="7" style="75" customWidth="1"/>
    <col min="15107" max="15107" width="11.42578125" style="75" customWidth="1"/>
    <col min="15108" max="15108" width="11" style="75" customWidth="1"/>
    <col min="15109" max="15109" width="15" style="75" customWidth="1"/>
    <col min="15110" max="15111" width="12.7109375" style="75" customWidth="1"/>
    <col min="15112" max="15112" width="12.85546875" style="75" customWidth="1"/>
    <col min="15113" max="15113" width="11.42578125" style="75" customWidth="1"/>
    <col min="15114" max="15114" width="14.140625" style="75" customWidth="1"/>
    <col min="15115" max="15115" width="7.7109375" style="75" customWidth="1"/>
    <col min="15116" max="15116" width="9.140625" style="75"/>
    <col min="15117" max="15117" width="12.140625" style="75" customWidth="1"/>
    <col min="15118" max="15118" width="22.140625" style="75" customWidth="1"/>
    <col min="15119" max="15360" width="9.140625" style="75"/>
    <col min="15361" max="15361" width="5.42578125" style="75" customWidth="1"/>
    <col min="15362" max="15362" width="7" style="75" customWidth="1"/>
    <col min="15363" max="15363" width="11.42578125" style="75" customWidth="1"/>
    <col min="15364" max="15364" width="11" style="75" customWidth="1"/>
    <col min="15365" max="15365" width="15" style="75" customWidth="1"/>
    <col min="15366" max="15367" width="12.7109375" style="75" customWidth="1"/>
    <col min="15368" max="15368" width="12.85546875" style="75" customWidth="1"/>
    <col min="15369" max="15369" width="11.42578125" style="75" customWidth="1"/>
    <col min="15370" max="15370" width="14.140625" style="75" customWidth="1"/>
    <col min="15371" max="15371" width="7.7109375" style="75" customWidth="1"/>
    <col min="15372" max="15372" width="9.140625" style="75"/>
    <col min="15373" max="15373" width="12.140625" style="75" customWidth="1"/>
    <col min="15374" max="15374" width="22.140625" style="75" customWidth="1"/>
    <col min="15375" max="15616" width="9.140625" style="75"/>
    <col min="15617" max="15617" width="5.42578125" style="75" customWidth="1"/>
    <col min="15618" max="15618" width="7" style="75" customWidth="1"/>
    <col min="15619" max="15619" width="11.42578125" style="75" customWidth="1"/>
    <col min="15620" max="15620" width="11" style="75" customWidth="1"/>
    <col min="15621" max="15621" width="15" style="75" customWidth="1"/>
    <col min="15622" max="15623" width="12.7109375" style="75" customWidth="1"/>
    <col min="15624" max="15624" width="12.85546875" style="75" customWidth="1"/>
    <col min="15625" max="15625" width="11.42578125" style="75" customWidth="1"/>
    <col min="15626" max="15626" width="14.140625" style="75" customWidth="1"/>
    <col min="15627" max="15627" width="7.7109375" style="75" customWidth="1"/>
    <col min="15628" max="15628" width="9.140625" style="75"/>
    <col min="15629" max="15629" width="12.140625" style="75" customWidth="1"/>
    <col min="15630" max="15630" width="22.140625" style="75" customWidth="1"/>
    <col min="15631" max="15872" width="9.140625" style="75"/>
    <col min="15873" max="15873" width="5.42578125" style="75" customWidth="1"/>
    <col min="15874" max="15874" width="7" style="75" customWidth="1"/>
    <col min="15875" max="15875" width="11.42578125" style="75" customWidth="1"/>
    <col min="15876" max="15876" width="11" style="75" customWidth="1"/>
    <col min="15877" max="15877" width="15" style="75" customWidth="1"/>
    <col min="15878" max="15879" width="12.7109375" style="75" customWidth="1"/>
    <col min="15880" max="15880" width="12.85546875" style="75" customWidth="1"/>
    <col min="15881" max="15881" width="11.42578125" style="75" customWidth="1"/>
    <col min="15882" max="15882" width="14.140625" style="75" customWidth="1"/>
    <col min="15883" max="15883" width="7.7109375" style="75" customWidth="1"/>
    <col min="15884" max="15884" width="9.140625" style="75"/>
    <col min="15885" max="15885" width="12.140625" style="75" customWidth="1"/>
    <col min="15886" max="15886" width="22.140625" style="75" customWidth="1"/>
    <col min="15887" max="16128" width="9.140625" style="75"/>
    <col min="16129" max="16129" width="5.42578125" style="75" customWidth="1"/>
    <col min="16130" max="16130" width="7" style="75" customWidth="1"/>
    <col min="16131" max="16131" width="11.42578125" style="75" customWidth="1"/>
    <col min="16132" max="16132" width="11" style="75" customWidth="1"/>
    <col min="16133" max="16133" width="15" style="75" customWidth="1"/>
    <col min="16134" max="16135" width="12.7109375" style="75" customWidth="1"/>
    <col min="16136" max="16136" width="12.85546875" style="75" customWidth="1"/>
    <col min="16137" max="16137" width="11.42578125" style="75" customWidth="1"/>
    <col min="16138" max="16138" width="14.140625" style="75" customWidth="1"/>
    <col min="16139" max="16139" width="7.7109375" style="75" customWidth="1"/>
    <col min="16140" max="16140" width="9.140625" style="75"/>
    <col min="16141" max="16141" width="12.140625" style="75" customWidth="1"/>
    <col min="16142" max="16142" width="22.140625" style="75" customWidth="1"/>
    <col min="16143" max="16384" width="9.140625" style="75"/>
  </cols>
  <sheetData>
    <row r="1" spans="2:15" ht="20.25" customHeight="1" thickBot="1" x14ac:dyDescent="0.25"/>
    <row r="2" spans="2:15" ht="13.5" thickBot="1" x14ac:dyDescent="0.25">
      <c r="B2" s="85" t="s">
        <v>61</v>
      </c>
      <c r="C2" s="87" t="s">
        <v>99</v>
      </c>
      <c r="D2" s="188" t="s">
        <v>63</v>
      </c>
      <c r="E2" s="189"/>
      <c r="F2" s="189" t="s">
        <v>64</v>
      </c>
      <c r="G2" s="189"/>
      <c r="H2" s="189" t="s">
        <v>65</v>
      </c>
      <c r="I2" s="189"/>
      <c r="J2" s="189" t="s">
        <v>66</v>
      </c>
      <c r="K2" s="189"/>
      <c r="L2" s="189" t="s">
        <v>67</v>
      </c>
      <c r="M2" s="190"/>
      <c r="N2" s="157" t="s">
        <v>68</v>
      </c>
      <c r="O2" s="158"/>
    </row>
    <row r="3" spans="2:15" ht="24" customHeight="1" x14ac:dyDescent="0.2">
      <c r="B3" s="174" t="s">
        <v>59</v>
      </c>
      <c r="C3" s="88" t="s">
        <v>100</v>
      </c>
      <c r="D3" s="184" t="s">
        <v>201</v>
      </c>
      <c r="E3" s="185"/>
      <c r="F3" s="186" t="s">
        <v>37</v>
      </c>
      <c r="G3" s="197"/>
      <c r="H3" s="183" t="s">
        <v>42</v>
      </c>
      <c r="I3" s="185"/>
      <c r="J3" s="183" t="s">
        <v>203</v>
      </c>
      <c r="K3" s="184"/>
      <c r="L3" s="186" t="s">
        <v>204</v>
      </c>
      <c r="M3" s="187"/>
      <c r="N3" s="159"/>
      <c r="O3" s="160"/>
    </row>
    <row r="4" spans="2:15" ht="21.75" customHeight="1" thickBot="1" x14ac:dyDescent="0.25">
      <c r="B4" s="176"/>
      <c r="C4" s="86" t="s">
        <v>101</v>
      </c>
      <c r="D4" s="138" t="s">
        <v>26</v>
      </c>
      <c r="E4" s="138"/>
      <c r="F4" s="147" t="s">
        <v>94</v>
      </c>
      <c r="G4" s="198"/>
      <c r="H4" s="138" t="s">
        <v>26</v>
      </c>
      <c r="I4" s="138"/>
      <c r="J4" s="147" t="s">
        <v>94</v>
      </c>
      <c r="K4" s="198"/>
      <c r="L4" s="138" t="s">
        <v>26</v>
      </c>
      <c r="M4" s="138"/>
      <c r="N4" s="155"/>
      <c r="O4" s="156"/>
    </row>
    <row r="5" spans="2:15" ht="27" customHeight="1" x14ac:dyDescent="0.2">
      <c r="B5" s="174" t="s">
        <v>58</v>
      </c>
      <c r="C5" s="88" t="s">
        <v>102</v>
      </c>
      <c r="D5" s="145"/>
      <c r="E5" s="145"/>
      <c r="F5" s="145" t="s">
        <v>188</v>
      </c>
      <c r="G5" s="145"/>
      <c r="H5" s="145" t="s">
        <v>103</v>
      </c>
      <c r="I5" s="145"/>
      <c r="J5" s="145" t="s">
        <v>211</v>
      </c>
      <c r="K5" s="145"/>
      <c r="L5" s="145" t="s">
        <v>213</v>
      </c>
      <c r="M5" s="145"/>
      <c r="N5" s="161"/>
      <c r="O5" s="162"/>
    </row>
    <row r="6" spans="2:15" ht="27" customHeight="1" x14ac:dyDescent="0.2">
      <c r="B6" s="175"/>
      <c r="C6" s="89" t="s">
        <v>104</v>
      </c>
      <c r="D6" s="193" t="s">
        <v>147</v>
      </c>
      <c r="E6" s="167"/>
      <c r="F6" s="165" t="s">
        <v>129</v>
      </c>
      <c r="G6" s="181"/>
      <c r="H6" s="151" t="s">
        <v>196</v>
      </c>
      <c r="I6" s="151"/>
      <c r="J6" s="151" t="s">
        <v>111</v>
      </c>
      <c r="K6" s="151"/>
      <c r="L6" s="151" t="s">
        <v>134</v>
      </c>
      <c r="M6" s="151"/>
      <c r="N6" s="153" t="s">
        <v>149</v>
      </c>
      <c r="O6" s="154"/>
    </row>
    <row r="7" spans="2:15" ht="25.5" customHeight="1" x14ac:dyDescent="0.2">
      <c r="B7" s="175"/>
      <c r="C7" s="89" t="s">
        <v>105</v>
      </c>
      <c r="D7" s="194" t="s">
        <v>42</v>
      </c>
      <c r="E7" s="136"/>
      <c r="F7" s="170" t="s">
        <v>92</v>
      </c>
      <c r="G7" s="151"/>
      <c r="H7" s="151" t="s">
        <v>191</v>
      </c>
      <c r="I7" s="171"/>
      <c r="J7" s="195" t="s">
        <v>192</v>
      </c>
      <c r="K7" s="196"/>
      <c r="L7" s="170"/>
      <c r="M7" s="179"/>
      <c r="N7" s="153" t="s">
        <v>62</v>
      </c>
      <c r="O7" s="154"/>
    </row>
    <row r="8" spans="2:15" ht="19.5" customHeight="1" x14ac:dyDescent="0.2">
      <c r="B8" s="175"/>
      <c r="C8" s="89" t="s">
        <v>107</v>
      </c>
      <c r="D8" s="192" t="s">
        <v>155</v>
      </c>
      <c r="E8" s="153"/>
      <c r="F8" s="170"/>
      <c r="G8" s="151"/>
      <c r="H8" s="171" t="s">
        <v>131</v>
      </c>
      <c r="I8" s="171"/>
      <c r="J8" s="170"/>
      <c r="K8" s="151"/>
      <c r="L8" s="165" t="s">
        <v>140</v>
      </c>
      <c r="M8" s="181"/>
      <c r="N8" s="163"/>
      <c r="O8" s="164"/>
    </row>
    <row r="9" spans="2:15" ht="18" customHeight="1" x14ac:dyDescent="0.2">
      <c r="B9" s="175"/>
      <c r="C9" s="89" t="s">
        <v>108</v>
      </c>
      <c r="D9" s="191"/>
      <c r="E9" s="171"/>
      <c r="F9" s="170" t="s">
        <v>157</v>
      </c>
      <c r="G9" s="151"/>
      <c r="H9" s="171"/>
      <c r="I9" s="171"/>
      <c r="J9" s="170" t="s">
        <v>130</v>
      </c>
      <c r="K9" s="151"/>
      <c r="L9" s="167"/>
      <c r="M9" s="167"/>
      <c r="N9" s="165" t="s">
        <v>136</v>
      </c>
      <c r="O9" s="166"/>
    </row>
    <row r="10" spans="2:15" ht="21" customHeight="1" x14ac:dyDescent="0.2">
      <c r="B10" s="175"/>
      <c r="C10" s="90" t="s">
        <v>106</v>
      </c>
      <c r="D10" s="194"/>
      <c r="E10" s="136"/>
      <c r="F10" s="151"/>
      <c r="G10" s="151"/>
      <c r="H10" s="151"/>
      <c r="I10" s="151"/>
      <c r="J10" s="151"/>
      <c r="K10" s="151"/>
      <c r="L10" s="167"/>
      <c r="M10" s="181"/>
      <c r="N10" s="140"/>
      <c r="O10" s="141"/>
    </row>
    <row r="11" spans="2:15" ht="26.25" customHeight="1" thickBot="1" x14ac:dyDescent="0.25">
      <c r="B11" s="176"/>
      <c r="C11" s="86" t="s">
        <v>101</v>
      </c>
      <c r="D11" s="138" t="s">
        <v>109</v>
      </c>
      <c r="E11" s="138"/>
      <c r="F11" s="138" t="s">
        <v>26</v>
      </c>
      <c r="G11" s="138"/>
      <c r="H11" s="138" t="s">
        <v>132</v>
      </c>
      <c r="I11" s="138"/>
      <c r="J11" s="138" t="s">
        <v>110</v>
      </c>
      <c r="K11" s="138"/>
      <c r="L11" s="138" t="s">
        <v>109</v>
      </c>
      <c r="M11" s="138"/>
      <c r="N11" s="142" t="s">
        <v>109</v>
      </c>
      <c r="O11" s="139"/>
    </row>
    <row r="12" spans="2:15" ht="17.25" customHeight="1" thickBot="1" x14ac:dyDescent="0.25">
      <c r="B12" s="85" t="s">
        <v>60</v>
      </c>
      <c r="C12" s="87" t="s">
        <v>99</v>
      </c>
      <c r="D12" s="188" t="s">
        <v>63</v>
      </c>
      <c r="E12" s="189"/>
      <c r="F12" s="189" t="s">
        <v>64</v>
      </c>
      <c r="G12" s="189"/>
      <c r="H12" s="189" t="s">
        <v>65</v>
      </c>
      <c r="I12" s="189"/>
      <c r="J12" s="189" t="s">
        <v>66</v>
      </c>
      <c r="K12" s="189"/>
      <c r="L12" s="189" t="s">
        <v>67</v>
      </c>
      <c r="M12" s="190"/>
      <c r="N12" s="143" t="s">
        <v>68</v>
      </c>
      <c r="O12" s="144"/>
    </row>
    <row r="13" spans="2:15" ht="22.5" customHeight="1" x14ac:dyDescent="0.2">
      <c r="B13" s="174" t="s">
        <v>59</v>
      </c>
      <c r="C13" s="88" t="s">
        <v>100</v>
      </c>
      <c r="D13" s="184" t="s">
        <v>62</v>
      </c>
      <c r="E13" s="185"/>
      <c r="F13" s="183" t="s">
        <v>203</v>
      </c>
      <c r="G13" s="184"/>
      <c r="H13" s="186" t="s">
        <v>204</v>
      </c>
      <c r="I13" s="187"/>
      <c r="J13" s="183" t="s">
        <v>209</v>
      </c>
      <c r="K13" s="185"/>
      <c r="L13" s="183" t="s">
        <v>210</v>
      </c>
      <c r="M13" s="184"/>
      <c r="N13" s="145"/>
      <c r="O13" s="146"/>
    </row>
    <row r="14" spans="2:15" ht="18.75" customHeight="1" thickBot="1" x14ac:dyDescent="0.25">
      <c r="B14" s="176"/>
      <c r="C14" s="86" t="s">
        <v>101</v>
      </c>
      <c r="D14" s="142" t="s">
        <v>94</v>
      </c>
      <c r="E14" s="138"/>
      <c r="F14" s="138" t="s">
        <v>26</v>
      </c>
      <c r="G14" s="138"/>
      <c r="H14" s="142" t="s">
        <v>94</v>
      </c>
      <c r="I14" s="138"/>
      <c r="J14" s="138" t="s">
        <v>26</v>
      </c>
      <c r="K14" s="138"/>
      <c r="L14" s="142" t="s">
        <v>94</v>
      </c>
      <c r="M14" s="138"/>
      <c r="N14" s="147"/>
      <c r="O14" s="148"/>
    </row>
    <row r="15" spans="2:15" ht="31.5" customHeight="1" x14ac:dyDescent="0.2">
      <c r="B15" s="174" t="s">
        <v>58</v>
      </c>
      <c r="C15" s="88" t="s">
        <v>102</v>
      </c>
      <c r="D15" s="177"/>
      <c r="E15" s="178"/>
      <c r="F15" s="145" t="s">
        <v>148</v>
      </c>
      <c r="G15" s="145"/>
      <c r="H15" s="145" t="s">
        <v>214</v>
      </c>
      <c r="I15" s="145"/>
      <c r="J15" s="178" t="s">
        <v>199</v>
      </c>
      <c r="K15" s="178"/>
      <c r="L15" s="145" t="s">
        <v>212</v>
      </c>
      <c r="M15" s="145"/>
      <c r="N15" s="149"/>
      <c r="O15" s="150"/>
    </row>
    <row r="16" spans="2:15" ht="24" customHeight="1" x14ac:dyDescent="0.2">
      <c r="B16" s="175"/>
      <c r="C16" s="89" t="s">
        <v>104</v>
      </c>
      <c r="D16" s="165" t="s">
        <v>93</v>
      </c>
      <c r="E16" s="167"/>
      <c r="F16" s="167" t="s">
        <v>193</v>
      </c>
      <c r="G16" s="167"/>
      <c r="H16" s="167" t="s">
        <v>133</v>
      </c>
      <c r="I16" s="167"/>
      <c r="J16" s="151" t="s">
        <v>143</v>
      </c>
      <c r="K16" s="151"/>
      <c r="L16" s="151" t="s">
        <v>142</v>
      </c>
      <c r="M16" s="151"/>
      <c r="N16" s="151" t="s">
        <v>134</v>
      </c>
      <c r="O16" s="152"/>
    </row>
    <row r="17" spans="2:16" ht="16.5" customHeight="1" x14ac:dyDescent="0.2">
      <c r="B17" s="175"/>
      <c r="C17" s="89" t="s">
        <v>105</v>
      </c>
      <c r="D17" s="165" t="s">
        <v>138</v>
      </c>
      <c r="E17" s="140"/>
      <c r="F17" s="170" t="s">
        <v>135</v>
      </c>
      <c r="G17" s="179"/>
      <c r="H17" s="167" t="s">
        <v>172</v>
      </c>
      <c r="I17" s="167"/>
      <c r="J17" s="151"/>
      <c r="K17" s="151"/>
      <c r="L17" s="170" t="s">
        <v>145</v>
      </c>
      <c r="M17" s="179"/>
      <c r="N17" s="153"/>
      <c r="O17" s="154"/>
    </row>
    <row r="18" spans="2:16" ht="18" customHeight="1" x14ac:dyDescent="0.2">
      <c r="B18" s="175"/>
      <c r="C18" s="89" t="s">
        <v>107</v>
      </c>
      <c r="D18" s="165" t="s">
        <v>146</v>
      </c>
      <c r="E18" s="167"/>
      <c r="F18" s="165"/>
      <c r="G18" s="181"/>
      <c r="H18" s="167" t="s">
        <v>141</v>
      </c>
      <c r="I18" s="167"/>
      <c r="J18" s="151" t="s">
        <v>144</v>
      </c>
      <c r="K18" s="151"/>
      <c r="L18" s="167"/>
      <c r="M18" s="168"/>
      <c r="N18" s="153" t="s">
        <v>137</v>
      </c>
      <c r="O18" s="154"/>
      <c r="P18" s="75" t="s">
        <v>24</v>
      </c>
    </row>
    <row r="19" spans="2:16" ht="29.25" customHeight="1" x14ac:dyDescent="0.2">
      <c r="B19" s="175"/>
      <c r="C19" s="89" t="s">
        <v>106</v>
      </c>
      <c r="D19" s="180"/>
      <c r="E19" s="165"/>
      <c r="F19" s="181"/>
      <c r="G19" s="165"/>
      <c r="H19" s="181"/>
      <c r="I19" s="165"/>
      <c r="J19" s="179"/>
      <c r="K19" s="170"/>
      <c r="L19" s="179" t="s">
        <v>183</v>
      </c>
      <c r="M19" s="182"/>
      <c r="N19" s="136"/>
      <c r="O19" s="137"/>
    </row>
    <row r="20" spans="2:16" ht="23.25" customHeight="1" x14ac:dyDescent="0.2">
      <c r="B20" s="175"/>
      <c r="C20" s="90" t="s">
        <v>108</v>
      </c>
      <c r="D20" s="170"/>
      <c r="E20" s="151"/>
      <c r="F20" s="151" t="s">
        <v>200</v>
      </c>
      <c r="G20" s="151"/>
      <c r="H20" s="171"/>
      <c r="I20" s="171"/>
      <c r="J20" s="172"/>
      <c r="K20" s="172"/>
      <c r="L20" s="171"/>
      <c r="M20" s="173"/>
      <c r="N20" s="136"/>
      <c r="O20" s="137"/>
    </row>
    <row r="21" spans="2:16" ht="24" customHeight="1" thickBot="1" x14ac:dyDescent="0.25">
      <c r="B21" s="176"/>
      <c r="C21" s="86" t="s">
        <v>101</v>
      </c>
      <c r="D21" s="142" t="s">
        <v>139</v>
      </c>
      <c r="E21" s="138"/>
      <c r="F21" s="142" t="s">
        <v>109</v>
      </c>
      <c r="G21" s="138"/>
      <c r="H21" s="138" t="s">
        <v>26</v>
      </c>
      <c r="I21" s="138"/>
      <c r="J21" s="142" t="s">
        <v>109</v>
      </c>
      <c r="K21" s="138"/>
      <c r="L21" s="138" t="s">
        <v>110</v>
      </c>
      <c r="M21" s="169"/>
      <c r="N21" s="138" t="s">
        <v>94</v>
      </c>
      <c r="O21" s="139"/>
    </row>
    <row r="22" spans="2:16" x14ac:dyDescent="0.2">
      <c r="G22" s="75" t="s">
        <v>24</v>
      </c>
      <c r="J22" s="75" t="s">
        <v>24</v>
      </c>
    </row>
  </sheetData>
  <mergeCells count="124">
    <mergeCell ref="D2:E2"/>
    <mergeCell ref="F2:G2"/>
    <mergeCell ref="H2:I2"/>
    <mergeCell ref="J2:K2"/>
    <mergeCell ref="L2:M2"/>
    <mergeCell ref="L3:M3"/>
    <mergeCell ref="B3:B4"/>
    <mergeCell ref="D3:E3"/>
    <mergeCell ref="F3:G3"/>
    <mergeCell ref="H3:I3"/>
    <mergeCell ref="J3:K3"/>
    <mergeCell ref="D4:E4"/>
    <mergeCell ref="F4:G4"/>
    <mergeCell ref="H4:I4"/>
    <mergeCell ref="J4:K4"/>
    <mergeCell ref="L7:M7"/>
    <mergeCell ref="D8:E8"/>
    <mergeCell ref="F8:G8"/>
    <mergeCell ref="H8:I8"/>
    <mergeCell ref="J8:K8"/>
    <mergeCell ref="L8:M8"/>
    <mergeCell ref="L4:M4"/>
    <mergeCell ref="B5:B11"/>
    <mergeCell ref="D5:E5"/>
    <mergeCell ref="F5:G5"/>
    <mergeCell ref="H5:I5"/>
    <mergeCell ref="J5:K5"/>
    <mergeCell ref="L5:M5"/>
    <mergeCell ref="D6:E6"/>
    <mergeCell ref="F6:G6"/>
    <mergeCell ref="H6:I6"/>
    <mergeCell ref="J6:K6"/>
    <mergeCell ref="L6:M6"/>
    <mergeCell ref="D7:E7"/>
    <mergeCell ref="F7:G7"/>
    <mergeCell ref="H7:I7"/>
    <mergeCell ref="J7:K7"/>
    <mergeCell ref="L11:M11"/>
    <mergeCell ref="D10:E10"/>
    <mergeCell ref="F10:G10"/>
    <mergeCell ref="H10:I10"/>
    <mergeCell ref="J10:K10"/>
    <mergeCell ref="L10:M10"/>
    <mergeCell ref="D9:E9"/>
    <mergeCell ref="F9:G9"/>
    <mergeCell ref="H9:I9"/>
    <mergeCell ref="J9:K9"/>
    <mergeCell ref="L9:M9"/>
    <mergeCell ref="D12:E12"/>
    <mergeCell ref="F12:G12"/>
    <mergeCell ref="H12:I12"/>
    <mergeCell ref="J12:K12"/>
    <mergeCell ref="L12:M12"/>
    <mergeCell ref="D11:E11"/>
    <mergeCell ref="F11:G11"/>
    <mergeCell ref="H11:I11"/>
    <mergeCell ref="J11:K11"/>
    <mergeCell ref="L13:M13"/>
    <mergeCell ref="B13:B14"/>
    <mergeCell ref="D13:E13"/>
    <mergeCell ref="F13:G13"/>
    <mergeCell ref="H13:I13"/>
    <mergeCell ref="J13:K13"/>
    <mergeCell ref="D14:E14"/>
    <mergeCell ref="F14:G14"/>
    <mergeCell ref="H14:I14"/>
    <mergeCell ref="J14:K14"/>
    <mergeCell ref="L14:M14"/>
    <mergeCell ref="B15:B21"/>
    <mergeCell ref="D15:E15"/>
    <mergeCell ref="F15:G15"/>
    <mergeCell ref="H15:I15"/>
    <mergeCell ref="J15:K15"/>
    <mergeCell ref="L15:M15"/>
    <mergeCell ref="D16:E16"/>
    <mergeCell ref="F16:G16"/>
    <mergeCell ref="H16:I16"/>
    <mergeCell ref="J16:K16"/>
    <mergeCell ref="L16:M16"/>
    <mergeCell ref="D17:E17"/>
    <mergeCell ref="F17:G17"/>
    <mergeCell ref="H17:I17"/>
    <mergeCell ref="J17:K17"/>
    <mergeCell ref="D19:E19"/>
    <mergeCell ref="F19:G19"/>
    <mergeCell ref="H19:I19"/>
    <mergeCell ref="J19:K19"/>
    <mergeCell ref="L19:M19"/>
    <mergeCell ref="L17:M17"/>
    <mergeCell ref="D18:E18"/>
    <mergeCell ref="F18:G18"/>
    <mergeCell ref="H18:I18"/>
    <mergeCell ref="J18:K18"/>
    <mergeCell ref="L18:M18"/>
    <mergeCell ref="D21:E21"/>
    <mergeCell ref="F21:G21"/>
    <mergeCell ref="H21:I21"/>
    <mergeCell ref="J21:K21"/>
    <mergeCell ref="L21:M21"/>
    <mergeCell ref="D20:E20"/>
    <mergeCell ref="F20:G20"/>
    <mergeCell ref="H20:I20"/>
    <mergeCell ref="J20:K20"/>
    <mergeCell ref="L20:M20"/>
    <mergeCell ref="N4:O4"/>
    <mergeCell ref="N2:O2"/>
    <mergeCell ref="N3:O3"/>
    <mergeCell ref="N5:O5"/>
    <mergeCell ref="N6:O6"/>
    <mergeCell ref="N7:O7"/>
    <mergeCell ref="N8:O8"/>
    <mergeCell ref="N9:O9"/>
    <mergeCell ref="N18:O18"/>
    <mergeCell ref="N19:O19"/>
    <mergeCell ref="N20:O20"/>
    <mergeCell ref="N21:O21"/>
    <mergeCell ref="N10:O10"/>
    <mergeCell ref="N11:O11"/>
    <mergeCell ref="N12:O12"/>
    <mergeCell ref="N13:O13"/>
    <mergeCell ref="N14:O14"/>
    <mergeCell ref="N15:O15"/>
    <mergeCell ref="N16:O16"/>
    <mergeCell ref="N17:O17"/>
  </mergeCells>
  <hyperlinks>
    <hyperlink ref="D2:E2" location="'день 1 '!A1" display="1 день"/>
    <hyperlink ref="F2:M2" location="'день 1 '!A1" display="1 день"/>
    <hyperlink ref="D12:E12" location="'день 1 '!A1" display="1 день"/>
    <hyperlink ref="F12:M12" location="'день 1 '!A1" display="1 день"/>
  </hyperlinks>
  <pageMargins left="0.32291666666666669" right="0.7" top="0.29166666666666669" bottom="0.44791666666666669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Z90"/>
  <sheetViews>
    <sheetView tabSelected="1" view="pageLayout" zoomScale="90" zoomScaleNormal="100" zoomScalePageLayoutView="90" workbookViewId="0">
      <selection activeCell="E8" sqref="E8"/>
    </sheetView>
  </sheetViews>
  <sheetFormatPr defaultRowHeight="15" x14ac:dyDescent="0.25"/>
  <cols>
    <col min="1" max="1" width="6.42578125" style="13" customWidth="1"/>
    <col min="2" max="2" width="2.7109375" style="13" customWidth="1"/>
    <col min="3" max="3" width="10.5703125" style="12" customWidth="1"/>
    <col min="4" max="4" width="42.7109375" style="12" customWidth="1"/>
    <col min="5" max="6" width="7.28515625" style="12" customWidth="1"/>
    <col min="7" max="7" width="6.7109375" style="12" customWidth="1"/>
    <col min="8" max="8" width="6.85546875" style="12" customWidth="1"/>
    <col min="9" max="9" width="6.42578125" style="12" customWidth="1"/>
    <col min="10" max="10" width="6.5703125" style="12" customWidth="1"/>
    <col min="11" max="11" width="7.5703125" style="12" customWidth="1"/>
    <col min="12" max="12" width="7.42578125" style="12" customWidth="1"/>
    <col min="13" max="13" width="8.5703125" style="12" customWidth="1"/>
    <col min="14" max="14" width="9.5703125" style="12" customWidth="1"/>
    <col min="15" max="15" width="9" style="12" customWidth="1"/>
    <col min="16" max="16" width="7.28515625" style="12" customWidth="1"/>
    <col min="17" max="20" width="9.140625" style="12"/>
    <col min="21" max="21" width="7.28515625" style="12" customWidth="1"/>
    <col min="22" max="22" width="7.7109375" style="12" customWidth="1"/>
    <col min="23" max="23" width="9.140625" style="12"/>
    <col min="24" max="24" width="7.7109375" style="12" customWidth="1"/>
    <col min="25" max="16384" width="9.140625" style="12"/>
  </cols>
  <sheetData>
    <row r="1" spans="2:26" s="16" customFormat="1" x14ac:dyDescent="0.25"/>
    <row r="2" spans="2:26" s="13" customFormat="1" ht="12.75" customHeight="1" x14ac:dyDescent="0.25"/>
    <row r="3" spans="2:26" s="13" customFormat="1" ht="19.5" x14ac:dyDescent="0.3">
      <c r="C3" s="222" t="s">
        <v>47</v>
      </c>
      <c r="D3" s="222"/>
      <c r="E3" s="222"/>
      <c r="F3" s="222"/>
      <c r="G3" s="222"/>
      <c r="H3" s="134" t="s">
        <v>219</v>
      </c>
      <c r="I3" s="131"/>
      <c r="J3" s="131"/>
      <c r="K3" s="131"/>
      <c r="L3" s="131"/>
      <c r="M3" s="131"/>
      <c r="N3" s="16"/>
    </row>
    <row r="4" spans="2:26" s="13" customFormat="1" ht="17.25" x14ac:dyDescent="0.3">
      <c r="C4" s="132" t="s">
        <v>220</v>
      </c>
      <c r="D4" s="132"/>
      <c r="E4" s="132"/>
      <c r="F4" s="45"/>
      <c r="G4" s="132"/>
      <c r="H4" s="135" t="s">
        <v>222</v>
      </c>
      <c r="I4" s="132"/>
      <c r="J4" s="135"/>
      <c r="K4" s="132"/>
      <c r="L4" s="132"/>
      <c r="M4" s="132"/>
      <c r="N4" s="132"/>
    </row>
    <row r="5" spans="2:26" s="13" customFormat="1" ht="17.25" x14ac:dyDescent="0.3">
      <c r="C5" s="223" t="s">
        <v>221</v>
      </c>
      <c r="D5" s="223"/>
      <c r="E5" s="223"/>
      <c r="F5" s="223"/>
      <c r="G5" s="132"/>
      <c r="H5" s="135" t="s">
        <v>223</v>
      </c>
      <c r="I5" s="132"/>
      <c r="J5" s="135"/>
      <c r="K5" s="132"/>
      <c r="L5" s="132"/>
      <c r="M5" s="132"/>
      <c r="N5" s="132"/>
    </row>
    <row r="6" spans="2:26" s="16" customFormat="1" ht="17.25" x14ac:dyDescent="0.3"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2:26" s="16" customFormat="1" ht="17.25" x14ac:dyDescent="0.3">
      <c r="C7" s="50"/>
      <c r="D7" s="50"/>
      <c r="E7" s="79"/>
      <c r="F7" s="50"/>
      <c r="G7" s="50"/>
      <c r="H7" s="50"/>
      <c r="I7" s="50" t="s">
        <v>24</v>
      </c>
      <c r="J7" s="50"/>
      <c r="K7" s="50"/>
      <c r="L7" s="50"/>
      <c r="M7" s="50"/>
      <c r="N7" s="50"/>
    </row>
    <row r="8" spans="2:26" s="16" customFormat="1" ht="17.25" x14ac:dyDescent="0.3"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2:26" s="16" customFormat="1" ht="17.25" x14ac:dyDescent="0.3"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2:26" s="16" customFormat="1" ht="17.25" x14ac:dyDescent="0.3"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2:26" s="13" customFormat="1" x14ac:dyDescent="0.25"/>
    <row r="12" spans="2:26" s="13" customFormat="1" ht="18.75" customHeight="1" x14ac:dyDescent="0.25">
      <c r="B12" s="56"/>
      <c r="C12" s="56"/>
      <c r="D12" s="224" t="s">
        <v>150</v>
      </c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80"/>
      <c r="P12" s="80"/>
      <c r="Q12" s="53"/>
      <c r="R12" s="53"/>
    </row>
    <row r="13" spans="2:26" s="13" customFormat="1" ht="16.5" customHeight="1" x14ac:dyDescent="0.3">
      <c r="B13" s="54"/>
      <c r="C13" s="54"/>
      <c r="D13" s="225" t="s">
        <v>151</v>
      </c>
      <c r="E13" s="225"/>
      <c r="F13" s="225"/>
      <c r="G13" s="225"/>
      <c r="H13" s="225"/>
      <c r="I13" s="225"/>
      <c r="J13" s="225"/>
      <c r="K13" s="225"/>
      <c r="L13" s="225"/>
      <c r="M13" s="225"/>
      <c r="N13" s="91"/>
      <c r="O13" s="80"/>
      <c r="P13" s="80"/>
      <c r="Q13" s="52"/>
      <c r="R13" s="52"/>
    </row>
    <row r="14" spans="2:26" s="13" customFormat="1" ht="17.25" x14ac:dyDescent="0.25">
      <c r="D14" s="226" t="s">
        <v>198</v>
      </c>
      <c r="E14" s="226"/>
      <c r="F14" s="226"/>
      <c r="G14" s="226"/>
      <c r="H14" s="226"/>
      <c r="I14" s="226"/>
      <c r="J14" s="226"/>
      <c r="K14" s="226"/>
      <c r="L14" s="226"/>
      <c r="M14" s="226"/>
      <c r="N14" s="92"/>
      <c r="O14" s="81"/>
      <c r="P14" s="78"/>
    </row>
    <row r="15" spans="2:26" ht="15.75" x14ac:dyDescent="0.25">
      <c r="C15" s="13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2:26" ht="15" customHeight="1" thickBot="1" x14ac:dyDescent="0.3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2"/>
      <c r="P16" s="2"/>
      <c r="Q16" s="1"/>
      <c r="R16" s="1"/>
      <c r="S16" s="1"/>
      <c r="T16" s="1"/>
      <c r="U16" s="2"/>
      <c r="V16" s="2"/>
      <c r="W16" s="1"/>
      <c r="X16" s="1"/>
      <c r="Y16" s="1"/>
      <c r="Z16" s="1"/>
    </row>
    <row r="17" spans="2:26" ht="15" customHeight="1" x14ac:dyDescent="0.25">
      <c r="B17" s="228" t="s">
        <v>45</v>
      </c>
      <c r="C17" s="206" t="s">
        <v>0</v>
      </c>
      <c r="D17" s="209" t="s">
        <v>1</v>
      </c>
      <c r="E17" s="212" t="s">
        <v>6</v>
      </c>
      <c r="F17" s="213"/>
      <c r="G17" s="216" t="s">
        <v>7</v>
      </c>
      <c r="H17" s="216"/>
      <c r="I17" s="216"/>
      <c r="J17" s="216"/>
      <c r="K17" s="216"/>
      <c r="L17" s="216"/>
      <c r="M17" s="217" t="s">
        <v>5</v>
      </c>
      <c r="N17" s="218"/>
      <c r="O17" s="1"/>
      <c r="P17" s="3"/>
      <c r="Q17" s="5"/>
      <c r="R17" s="5"/>
      <c r="S17" s="5"/>
      <c r="T17" s="5"/>
      <c r="U17" s="1"/>
      <c r="V17" s="3"/>
      <c r="W17" s="5"/>
      <c r="X17" s="5"/>
      <c r="Y17" s="5"/>
      <c r="Z17" s="5"/>
    </row>
    <row r="18" spans="2:26" x14ac:dyDescent="0.25">
      <c r="B18" s="229"/>
      <c r="C18" s="207"/>
      <c r="D18" s="210"/>
      <c r="E18" s="214"/>
      <c r="F18" s="215"/>
      <c r="G18" s="221" t="s">
        <v>3</v>
      </c>
      <c r="H18" s="221"/>
      <c r="I18" s="219" t="s">
        <v>2</v>
      </c>
      <c r="J18" s="219"/>
      <c r="K18" s="221" t="s">
        <v>4</v>
      </c>
      <c r="L18" s="221"/>
      <c r="M18" s="219"/>
      <c r="N18" s="220"/>
      <c r="O18" s="1"/>
      <c r="P18" s="3"/>
      <c r="Q18" s="5"/>
      <c r="R18" s="5"/>
      <c r="S18" s="5"/>
      <c r="T18" s="5"/>
      <c r="U18" s="1"/>
      <c r="V18" s="3"/>
      <c r="W18" s="5"/>
      <c r="X18" s="5"/>
      <c r="Y18" s="5"/>
      <c r="Z18" s="5"/>
    </row>
    <row r="19" spans="2:26" ht="27.75" customHeight="1" thickBot="1" x14ac:dyDescent="0.3">
      <c r="B19" s="230"/>
      <c r="C19" s="208"/>
      <c r="D19" s="211"/>
      <c r="E19" s="27" t="s">
        <v>15</v>
      </c>
      <c r="F19" s="28" t="s">
        <v>48</v>
      </c>
      <c r="G19" s="27" t="s">
        <v>15</v>
      </c>
      <c r="H19" s="28" t="s">
        <v>48</v>
      </c>
      <c r="I19" s="27" t="s">
        <v>15</v>
      </c>
      <c r="J19" s="28" t="s">
        <v>48</v>
      </c>
      <c r="K19" s="27" t="s">
        <v>15</v>
      </c>
      <c r="L19" s="28" t="s">
        <v>48</v>
      </c>
      <c r="M19" s="27" t="s">
        <v>15</v>
      </c>
      <c r="N19" s="29" t="s">
        <v>48</v>
      </c>
      <c r="O19" s="1"/>
      <c r="P19" s="3"/>
      <c r="Q19" s="5"/>
      <c r="R19" s="5"/>
      <c r="S19" s="5"/>
      <c r="T19" s="5"/>
      <c r="U19" s="1"/>
      <c r="V19" s="3"/>
      <c r="W19" s="5"/>
      <c r="X19" s="5"/>
      <c r="Y19" s="5"/>
      <c r="Z19" s="5"/>
    </row>
    <row r="20" spans="2:26" x14ac:dyDescent="0.25">
      <c r="B20" s="231" t="s">
        <v>43</v>
      </c>
      <c r="C20" s="203" t="s">
        <v>8</v>
      </c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5"/>
      <c r="O20" s="1"/>
      <c r="P20" s="3"/>
      <c r="Q20" s="5"/>
      <c r="R20" s="5"/>
      <c r="S20" s="5"/>
      <c r="T20" s="5"/>
      <c r="U20" s="1"/>
      <c r="V20" s="3"/>
      <c r="W20" s="5"/>
      <c r="X20" s="5"/>
      <c r="Y20" s="5"/>
      <c r="Z20" s="5"/>
    </row>
    <row r="21" spans="2:26" x14ac:dyDescent="0.25">
      <c r="B21" s="232"/>
      <c r="C21" s="107" t="s">
        <v>71</v>
      </c>
      <c r="D21" s="8" t="s">
        <v>72</v>
      </c>
      <c r="E21" s="84">
        <v>150</v>
      </c>
      <c r="F21" s="30">
        <v>200</v>
      </c>
      <c r="G21" s="22">
        <f>E21*3.03/100</f>
        <v>4.544999999999999</v>
      </c>
      <c r="H21" s="33">
        <f>F21*3.03/100</f>
        <v>6.06</v>
      </c>
      <c r="I21" s="22">
        <f>E21*3.21/100</f>
        <v>4.8150000000000004</v>
      </c>
      <c r="J21" s="33">
        <f>F21*3.21/100</f>
        <v>6.42</v>
      </c>
      <c r="K21" s="22">
        <f>E21*15.23/100</f>
        <v>22.844999999999999</v>
      </c>
      <c r="L21" s="33">
        <f>F21*15.23/100</f>
        <v>30.46</v>
      </c>
      <c r="M21" s="22">
        <f t="shared" ref="M21:N21" si="0">G21*4+I21*9+K21*4</f>
        <v>152.89499999999998</v>
      </c>
      <c r="N21" s="35">
        <f t="shared" si="0"/>
        <v>203.86</v>
      </c>
      <c r="O21" s="1"/>
      <c r="P21" s="3"/>
      <c r="Q21" s="5"/>
      <c r="R21" s="5"/>
      <c r="S21" s="5"/>
      <c r="T21" s="5"/>
      <c r="U21" s="1"/>
      <c r="V21" s="3"/>
      <c r="W21" s="5"/>
      <c r="X21" s="5"/>
      <c r="Y21" s="5"/>
      <c r="Z21" s="5"/>
    </row>
    <row r="22" spans="2:26" x14ac:dyDescent="0.25">
      <c r="B22" s="232"/>
      <c r="C22" s="21" t="s">
        <v>85</v>
      </c>
      <c r="D22" s="6" t="s">
        <v>86</v>
      </c>
      <c r="E22" s="59">
        <v>30</v>
      </c>
      <c r="F22" s="60">
        <v>40</v>
      </c>
      <c r="G22" s="22">
        <f>E22*7.6/100</f>
        <v>2.2799999999999998</v>
      </c>
      <c r="H22" s="33">
        <f>F22*7.6/100</f>
        <v>3.04</v>
      </c>
      <c r="I22" s="22">
        <f>E22*0.8/100</f>
        <v>0.24</v>
      </c>
      <c r="J22" s="33">
        <f>F22*0.8/100</f>
        <v>0.32</v>
      </c>
      <c r="K22" s="22">
        <f>E22*49.2/100</f>
        <v>14.76</v>
      </c>
      <c r="L22" s="33">
        <f>F22*49.2/100</f>
        <v>19.68</v>
      </c>
      <c r="M22" s="22">
        <f t="shared" ref="M22:N23" si="1">G22*4+I22*9+K22*4</f>
        <v>70.319999999999993</v>
      </c>
      <c r="N22" s="35">
        <f t="shared" si="1"/>
        <v>93.759999999999991</v>
      </c>
      <c r="O22" s="1"/>
      <c r="P22" s="3"/>
      <c r="Q22" s="5"/>
      <c r="R22" s="5"/>
      <c r="S22" s="5"/>
      <c r="T22" s="5"/>
      <c r="U22" s="1"/>
      <c r="V22" s="3"/>
      <c r="W22" s="5"/>
      <c r="X22" s="5"/>
      <c r="Y22" s="5"/>
      <c r="Z22" s="5"/>
    </row>
    <row r="23" spans="2:26" x14ac:dyDescent="0.25">
      <c r="B23" s="232"/>
      <c r="C23" s="21" t="s">
        <v>49</v>
      </c>
      <c r="D23" s="6" t="s">
        <v>11</v>
      </c>
      <c r="E23" s="84">
        <v>200</v>
      </c>
      <c r="F23" s="31">
        <v>200</v>
      </c>
      <c r="G23" s="22">
        <f>E23*0.3/200</f>
        <v>0.3</v>
      </c>
      <c r="H23" s="33">
        <f>F23*0.3/200</f>
        <v>0.3</v>
      </c>
      <c r="I23" s="22">
        <f t="shared" ref="I23:J23" si="2">E23*0.1/200</f>
        <v>0.1</v>
      </c>
      <c r="J23" s="33">
        <f t="shared" si="2"/>
        <v>0.1</v>
      </c>
      <c r="K23" s="22">
        <f>E23*9.5/200</f>
        <v>9.5</v>
      </c>
      <c r="L23" s="33">
        <f>F23*9.5/200</f>
        <v>9.5</v>
      </c>
      <c r="M23" s="22">
        <f t="shared" si="1"/>
        <v>40.1</v>
      </c>
      <c r="N23" s="35">
        <f t="shared" si="1"/>
        <v>40.1</v>
      </c>
      <c r="O23" s="1"/>
      <c r="P23" s="3"/>
      <c r="Q23" s="5"/>
      <c r="R23" s="5"/>
      <c r="S23" s="5"/>
      <c r="T23" s="5"/>
      <c r="U23" s="1"/>
      <c r="V23" s="3"/>
      <c r="W23" s="5"/>
      <c r="X23" s="5"/>
      <c r="Y23" s="5"/>
      <c r="Z23" s="5"/>
    </row>
    <row r="24" spans="2:26" x14ac:dyDescent="0.25">
      <c r="B24" s="232"/>
      <c r="C24" s="26"/>
      <c r="D24" s="4" t="s">
        <v>13</v>
      </c>
      <c r="E24" s="24">
        <f t="shared" ref="E24:L24" si="3">SUM(E21:E23)</f>
        <v>380</v>
      </c>
      <c r="F24" s="32">
        <f t="shared" si="3"/>
        <v>440</v>
      </c>
      <c r="G24" s="7">
        <f t="shared" si="3"/>
        <v>7.1249999999999991</v>
      </c>
      <c r="H24" s="34">
        <f t="shared" si="3"/>
        <v>9.4</v>
      </c>
      <c r="I24" s="7">
        <f t="shared" si="3"/>
        <v>5.1550000000000002</v>
      </c>
      <c r="J24" s="34">
        <f t="shared" si="3"/>
        <v>6.84</v>
      </c>
      <c r="K24" s="7">
        <f t="shared" si="3"/>
        <v>47.104999999999997</v>
      </c>
      <c r="L24" s="34">
        <f t="shared" si="3"/>
        <v>59.64</v>
      </c>
      <c r="M24" s="7">
        <f>G24*4+I24*9+K24*4</f>
        <v>263.315</v>
      </c>
      <c r="N24" s="36">
        <f>H24*4+J24*9+L24*4</f>
        <v>337.72</v>
      </c>
      <c r="O24" s="1"/>
      <c r="P24" s="3"/>
      <c r="Q24" s="5"/>
      <c r="R24" s="5"/>
      <c r="S24" s="5"/>
      <c r="T24" s="5"/>
      <c r="U24" s="1"/>
      <c r="V24" s="3"/>
      <c r="W24" s="5"/>
      <c r="X24" s="5"/>
      <c r="Y24" s="5"/>
      <c r="Z24" s="5"/>
    </row>
    <row r="25" spans="2:26" x14ac:dyDescent="0.25">
      <c r="B25" s="232"/>
      <c r="C25" s="200" t="s">
        <v>9</v>
      </c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2"/>
      <c r="O25" s="1"/>
      <c r="P25" s="3"/>
      <c r="Q25" s="5"/>
      <c r="R25" s="5"/>
      <c r="S25" s="5"/>
      <c r="T25" s="5"/>
      <c r="U25" s="1"/>
      <c r="V25" s="3"/>
      <c r="W25" s="5"/>
      <c r="X25" s="5"/>
      <c r="Y25" s="5"/>
      <c r="Z25" s="5"/>
    </row>
    <row r="26" spans="2:26" s="16" customFormat="1" x14ac:dyDescent="0.25">
      <c r="B26" s="232"/>
      <c r="C26" s="107" t="s">
        <v>152</v>
      </c>
      <c r="D26" s="9" t="s">
        <v>153</v>
      </c>
      <c r="E26" s="105">
        <v>200</v>
      </c>
      <c r="F26" s="43">
        <v>250</v>
      </c>
      <c r="G26" s="23">
        <f>E26*3.72/100</f>
        <v>7.44</v>
      </c>
      <c r="H26" s="44">
        <f>F26*3.72/100</f>
        <v>9.3000000000000007</v>
      </c>
      <c r="I26" s="23">
        <f>E26*4.56/100</f>
        <v>9.1199999999999992</v>
      </c>
      <c r="J26" s="44">
        <f>F26*4.56/100</f>
        <v>11.4</v>
      </c>
      <c r="K26" s="23">
        <f>E26*4.02/100</f>
        <v>8.0399999999999991</v>
      </c>
      <c r="L26" s="44">
        <f>F26*4.02/100</f>
        <v>10.049999999999999</v>
      </c>
      <c r="M26" s="23">
        <f t="shared" ref="M26:N32" si="4">G26*4+I26*9+K26*4</f>
        <v>144</v>
      </c>
      <c r="N26" s="41">
        <f t="shared" si="4"/>
        <v>180</v>
      </c>
      <c r="O26" s="1"/>
      <c r="P26" s="3"/>
      <c r="Q26" s="5"/>
      <c r="R26" s="5"/>
      <c r="S26" s="5"/>
      <c r="T26" s="5"/>
      <c r="U26" s="1"/>
      <c r="V26" s="3"/>
      <c r="W26" s="5"/>
      <c r="X26" s="5"/>
      <c r="Y26" s="5"/>
      <c r="Z26" s="5"/>
    </row>
    <row r="27" spans="2:26" s="16" customFormat="1" x14ac:dyDescent="0.25">
      <c r="B27" s="232"/>
      <c r="C27" s="107" t="s">
        <v>34</v>
      </c>
      <c r="D27" s="9" t="s">
        <v>25</v>
      </c>
      <c r="E27" s="84">
        <v>90</v>
      </c>
      <c r="F27" s="31">
        <v>100</v>
      </c>
      <c r="G27" s="22">
        <f>E27*6.33/100</f>
        <v>5.6970000000000001</v>
      </c>
      <c r="H27" s="33">
        <f>F27*6.33/100</f>
        <v>6.33</v>
      </c>
      <c r="I27" s="22">
        <f>E27*14.65/100</f>
        <v>13.185</v>
      </c>
      <c r="J27" s="33">
        <f>F27*14.65/100</f>
        <v>14.65</v>
      </c>
      <c r="K27" s="22">
        <f>E27*10.55/100</f>
        <v>9.495000000000001</v>
      </c>
      <c r="L27" s="33">
        <f>F27*10.55/100</f>
        <v>10.55</v>
      </c>
      <c r="M27" s="22">
        <f t="shared" si="4"/>
        <v>179.43299999999999</v>
      </c>
      <c r="N27" s="35">
        <f t="shared" si="4"/>
        <v>199.37</v>
      </c>
      <c r="O27" s="1"/>
      <c r="P27" s="3"/>
      <c r="Q27" s="5"/>
      <c r="R27" s="5"/>
      <c r="S27" s="5"/>
      <c r="T27" s="5"/>
      <c r="U27" s="1"/>
      <c r="V27" s="3"/>
      <c r="W27" s="5"/>
      <c r="X27" s="5"/>
      <c r="Y27" s="5"/>
      <c r="Z27" s="5"/>
    </row>
    <row r="28" spans="2:26" s="16" customFormat="1" x14ac:dyDescent="0.25">
      <c r="B28" s="232"/>
      <c r="C28" s="107" t="s">
        <v>36</v>
      </c>
      <c r="D28" s="8" t="s">
        <v>154</v>
      </c>
      <c r="E28" s="84">
        <v>150</v>
      </c>
      <c r="F28" s="31">
        <v>180</v>
      </c>
      <c r="G28" s="22">
        <f>E28*2.18/100</f>
        <v>3.27</v>
      </c>
      <c r="H28" s="33">
        <f>F28*2.18/100</f>
        <v>3.9240000000000004</v>
      </c>
      <c r="I28" s="22">
        <f>E28*1.82/100</f>
        <v>2.73</v>
      </c>
      <c r="J28" s="33">
        <f>F28*1.82/100</f>
        <v>3.2760000000000002</v>
      </c>
      <c r="K28" s="22">
        <f>E28*12.39/100</f>
        <v>18.585000000000001</v>
      </c>
      <c r="L28" s="33">
        <f>F28*12.39/100</f>
        <v>22.302000000000003</v>
      </c>
      <c r="M28" s="22">
        <f t="shared" si="4"/>
        <v>111.99000000000001</v>
      </c>
      <c r="N28" s="35">
        <f t="shared" si="4"/>
        <v>134.38800000000003</v>
      </c>
      <c r="O28" s="1"/>
      <c r="P28" s="3"/>
      <c r="Q28" s="5"/>
      <c r="R28" s="5"/>
      <c r="S28" s="5"/>
      <c r="T28" s="5"/>
      <c r="U28" s="1"/>
      <c r="V28" s="3"/>
      <c r="W28" s="5"/>
      <c r="X28" s="5"/>
      <c r="Y28" s="5"/>
      <c r="Z28" s="5"/>
    </row>
    <row r="29" spans="2:26" s="16" customFormat="1" x14ac:dyDescent="0.25">
      <c r="B29" s="232"/>
      <c r="C29" s="107" t="s">
        <v>76</v>
      </c>
      <c r="D29" s="9" t="s">
        <v>77</v>
      </c>
      <c r="E29" s="84">
        <v>40</v>
      </c>
      <c r="F29" s="31">
        <v>50</v>
      </c>
      <c r="G29" s="22">
        <f>E29*1.3/50</f>
        <v>1.04</v>
      </c>
      <c r="H29" s="33">
        <f>F29*1.3/50</f>
        <v>1.3</v>
      </c>
      <c r="I29" s="22">
        <f>E29*4.8/50</f>
        <v>3.84</v>
      </c>
      <c r="J29" s="33">
        <f>F29*4.8/50</f>
        <v>4.8</v>
      </c>
      <c r="K29" s="22">
        <f>E29*4.7/50</f>
        <v>3.76</v>
      </c>
      <c r="L29" s="33">
        <f>F29*4.7/50</f>
        <v>4.7</v>
      </c>
      <c r="M29" s="22">
        <f t="shared" si="4"/>
        <v>53.76</v>
      </c>
      <c r="N29" s="35">
        <f t="shared" si="4"/>
        <v>67.2</v>
      </c>
      <c r="O29" s="1"/>
      <c r="P29" s="3"/>
      <c r="Q29" s="5"/>
      <c r="R29" s="5"/>
      <c r="S29" s="5"/>
      <c r="T29" s="5"/>
      <c r="U29" s="1"/>
      <c r="V29" s="3"/>
      <c r="W29" s="5"/>
      <c r="X29" s="5"/>
      <c r="Y29" s="5"/>
      <c r="Z29" s="5"/>
    </row>
    <row r="30" spans="2:26" s="16" customFormat="1" x14ac:dyDescent="0.25">
      <c r="B30" s="232"/>
      <c r="C30" s="107" t="s">
        <v>54</v>
      </c>
      <c r="D30" s="9" t="s">
        <v>55</v>
      </c>
      <c r="E30" s="84">
        <v>200</v>
      </c>
      <c r="F30" s="31">
        <v>200</v>
      </c>
      <c r="G30" s="22">
        <f>E30*0.6/200</f>
        <v>0.6</v>
      </c>
      <c r="H30" s="33">
        <f>F30*0.6/200</f>
        <v>0.6</v>
      </c>
      <c r="I30" s="22">
        <f t="shared" ref="I30:J30" si="5">E30*0.1/200</f>
        <v>0.1</v>
      </c>
      <c r="J30" s="33">
        <f t="shared" si="5"/>
        <v>0.1</v>
      </c>
      <c r="K30" s="22">
        <f>E30*20.1/200</f>
        <v>20.100000000000001</v>
      </c>
      <c r="L30" s="33">
        <f>F30*20.1/200</f>
        <v>20.100000000000001</v>
      </c>
      <c r="M30" s="22">
        <f t="shared" si="4"/>
        <v>83.7</v>
      </c>
      <c r="N30" s="35">
        <f t="shared" si="4"/>
        <v>83.7</v>
      </c>
      <c r="O30" s="1"/>
      <c r="P30" s="3"/>
      <c r="Q30" s="5"/>
      <c r="R30" s="5"/>
      <c r="S30" s="5"/>
      <c r="T30" s="5"/>
      <c r="U30" s="1"/>
      <c r="V30" s="3"/>
      <c r="W30" s="5"/>
      <c r="X30" s="5"/>
      <c r="Y30" s="5"/>
      <c r="Z30" s="5"/>
    </row>
    <row r="31" spans="2:26" x14ac:dyDescent="0.25">
      <c r="B31" s="232"/>
      <c r="C31" s="21" t="s">
        <v>84</v>
      </c>
      <c r="D31" s="6" t="s">
        <v>22</v>
      </c>
      <c r="E31" s="59">
        <v>20</v>
      </c>
      <c r="F31" s="60">
        <v>20</v>
      </c>
      <c r="G31" s="22">
        <f>E31*8/100</f>
        <v>1.6</v>
      </c>
      <c r="H31" s="33">
        <f>F31*8/100</f>
        <v>1.6</v>
      </c>
      <c r="I31" s="22">
        <f>E31*1.5/100</f>
        <v>0.3</v>
      </c>
      <c r="J31" s="33">
        <f>F31*1.5/100</f>
        <v>0.3</v>
      </c>
      <c r="K31" s="22">
        <f>E31*40.1/100</f>
        <v>8.02</v>
      </c>
      <c r="L31" s="33">
        <f>F31*40.1/100</f>
        <v>8.02</v>
      </c>
      <c r="M31" s="22">
        <f t="shared" si="4"/>
        <v>41.18</v>
      </c>
      <c r="N31" s="35">
        <f t="shared" si="4"/>
        <v>41.18</v>
      </c>
      <c r="O31" s="1"/>
      <c r="P31" s="3"/>
      <c r="Q31" s="5"/>
      <c r="R31" s="5"/>
      <c r="S31" s="5"/>
      <c r="T31" s="5"/>
      <c r="U31" s="1"/>
      <c r="V31" s="3"/>
      <c r="W31" s="5"/>
      <c r="X31" s="5"/>
      <c r="Y31" s="5"/>
      <c r="Z31" s="5"/>
    </row>
    <row r="32" spans="2:26" x14ac:dyDescent="0.25">
      <c r="B32" s="232"/>
      <c r="C32" s="21" t="s">
        <v>85</v>
      </c>
      <c r="D32" s="6" t="s">
        <v>86</v>
      </c>
      <c r="E32" s="59">
        <v>40</v>
      </c>
      <c r="F32" s="60">
        <v>50</v>
      </c>
      <c r="G32" s="22">
        <f>E32*7.6/100</f>
        <v>3.04</v>
      </c>
      <c r="H32" s="33">
        <f>F32*7.6/100</f>
        <v>3.8</v>
      </c>
      <c r="I32" s="22">
        <f>E32*0.8/100</f>
        <v>0.32</v>
      </c>
      <c r="J32" s="33">
        <f>F32*0.8/100</f>
        <v>0.4</v>
      </c>
      <c r="K32" s="22">
        <f>E32*49.2/100</f>
        <v>19.68</v>
      </c>
      <c r="L32" s="33">
        <f>F32*49.2/100</f>
        <v>24.6</v>
      </c>
      <c r="M32" s="22">
        <f t="shared" si="4"/>
        <v>93.759999999999991</v>
      </c>
      <c r="N32" s="35">
        <f t="shared" si="4"/>
        <v>117.2</v>
      </c>
      <c r="O32" s="1"/>
      <c r="P32" s="3"/>
      <c r="Q32" s="5" t="s">
        <v>24</v>
      </c>
      <c r="R32" s="5"/>
      <c r="S32" s="5"/>
      <c r="T32" s="5"/>
      <c r="U32" s="1"/>
      <c r="V32" s="3"/>
      <c r="W32" s="5"/>
      <c r="X32" s="5"/>
      <c r="Y32" s="5"/>
      <c r="Z32" s="5"/>
    </row>
    <row r="33" spans="2:26" x14ac:dyDescent="0.25">
      <c r="B33" s="232"/>
      <c r="C33" s="21"/>
      <c r="D33" s="4" t="s">
        <v>14</v>
      </c>
      <c r="E33" s="24">
        <f t="shared" ref="E33:N33" si="6">SUM(E26:E32)</f>
        <v>740</v>
      </c>
      <c r="F33" s="38">
        <f t="shared" si="6"/>
        <v>850</v>
      </c>
      <c r="G33" s="7">
        <f t="shared" si="6"/>
        <v>22.687000000000001</v>
      </c>
      <c r="H33" s="34">
        <f t="shared" si="6"/>
        <v>26.854000000000006</v>
      </c>
      <c r="I33" s="24">
        <f t="shared" si="6"/>
        <v>29.595000000000002</v>
      </c>
      <c r="J33" s="34">
        <f t="shared" si="6"/>
        <v>34.925999999999995</v>
      </c>
      <c r="K33" s="24">
        <f t="shared" si="6"/>
        <v>87.68</v>
      </c>
      <c r="L33" s="34">
        <f t="shared" si="6"/>
        <v>100.322</v>
      </c>
      <c r="M33" s="7">
        <f t="shared" si="6"/>
        <v>707.82299999999998</v>
      </c>
      <c r="N33" s="36">
        <f t="shared" si="6"/>
        <v>823.03800000000012</v>
      </c>
      <c r="O33" s="1"/>
      <c r="P33" s="3"/>
      <c r="Q33" s="5"/>
      <c r="R33" s="5"/>
      <c r="S33" s="5" t="s">
        <v>24</v>
      </c>
      <c r="T33" s="5"/>
      <c r="U33" s="1"/>
      <c r="V33" s="3"/>
      <c r="W33" s="5"/>
      <c r="X33" s="5"/>
      <c r="Y33" s="5"/>
      <c r="Z33" s="5"/>
    </row>
    <row r="34" spans="2:26" ht="15.75" thickBot="1" x14ac:dyDescent="0.3">
      <c r="B34" s="232"/>
      <c r="C34" s="110"/>
      <c r="D34" s="111" t="s">
        <v>12</v>
      </c>
      <c r="E34" s="112"/>
      <c r="F34" s="113"/>
      <c r="G34" s="114">
        <f t="shared" ref="G34:N34" si="7">G24+G33</f>
        <v>29.812000000000001</v>
      </c>
      <c r="H34" s="115">
        <f t="shared" si="7"/>
        <v>36.254000000000005</v>
      </c>
      <c r="I34" s="114">
        <f t="shared" si="7"/>
        <v>34.75</v>
      </c>
      <c r="J34" s="115">
        <f t="shared" si="7"/>
        <v>41.765999999999991</v>
      </c>
      <c r="K34" s="114">
        <f t="shared" si="7"/>
        <v>134.785</v>
      </c>
      <c r="L34" s="115">
        <f t="shared" si="7"/>
        <v>159.96199999999999</v>
      </c>
      <c r="M34" s="114">
        <f t="shared" si="7"/>
        <v>971.13799999999992</v>
      </c>
      <c r="N34" s="116">
        <f t="shared" si="7"/>
        <v>1160.7580000000003</v>
      </c>
      <c r="O34" s="1"/>
      <c r="P34" s="3"/>
      <c r="Q34" s="5"/>
      <c r="R34" s="5"/>
      <c r="S34" s="5"/>
      <c r="T34" s="5"/>
      <c r="U34" s="1"/>
      <c r="V34" s="3"/>
      <c r="W34" s="5"/>
      <c r="X34" s="5"/>
      <c r="Y34" s="5"/>
      <c r="Z34" s="5"/>
    </row>
    <row r="35" spans="2:26" ht="15" customHeight="1" x14ac:dyDescent="0.25">
      <c r="B35" s="231" t="s">
        <v>44</v>
      </c>
      <c r="C35" s="200" t="s">
        <v>8</v>
      </c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2"/>
    </row>
    <row r="36" spans="2:26" x14ac:dyDescent="0.25">
      <c r="B36" s="232"/>
      <c r="C36" s="21" t="s">
        <v>158</v>
      </c>
      <c r="D36" s="8" t="s">
        <v>159</v>
      </c>
      <c r="E36" s="84">
        <v>150</v>
      </c>
      <c r="F36" s="30">
        <v>200</v>
      </c>
      <c r="G36" s="22">
        <f>E36*4.35/100</f>
        <v>6.5250000000000004</v>
      </c>
      <c r="H36" s="33">
        <f>F36*4.35/100</f>
        <v>8.6999999999999993</v>
      </c>
      <c r="I36" s="22">
        <f>E36*3.74/100</f>
        <v>5.61</v>
      </c>
      <c r="J36" s="33">
        <f>F36*3.74/100</f>
        <v>7.48</v>
      </c>
      <c r="K36" s="22">
        <f>E36*15.7/100</f>
        <v>23.55</v>
      </c>
      <c r="L36" s="33">
        <f>F36*15.7/100</f>
        <v>31.4</v>
      </c>
      <c r="M36" s="22">
        <f t="shared" ref="M36:N36" si="8">G36*4+I36*9+K36*4</f>
        <v>170.79000000000002</v>
      </c>
      <c r="N36" s="35">
        <f t="shared" si="8"/>
        <v>227.72</v>
      </c>
      <c r="O36" s="47"/>
    </row>
    <row r="37" spans="2:26" s="16" customFormat="1" x14ac:dyDescent="0.25">
      <c r="B37" s="232"/>
      <c r="C37" s="21" t="s">
        <v>85</v>
      </c>
      <c r="D37" s="6" t="s">
        <v>86</v>
      </c>
      <c r="E37" s="59">
        <v>30</v>
      </c>
      <c r="F37" s="60">
        <v>40</v>
      </c>
      <c r="G37" s="22">
        <f>E37*7.6/100</f>
        <v>2.2799999999999998</v>
      </c>
      <c r="H37" s="33">
        <f>F37*7.6/100</f>
        <v>3.04</v>
      </c>
      <c r="I37" s="22">
        <f>E37*0.8/100</f>
        <v>0.24</v>
      </c>
      <c r="J37" s="33">
        <f>F37*0.8/100</f>
        <v>0.32</v>
      </c>
      <c r="K37" s="22">
        <f>E37*49.2/100</f>
        <v>14.76</v>
      </c>
      <c r="L37" s="33">
        <f>F37*49.2/100</f>
        <v>19.68</v>
      </c>
      <c r="M37" s="22">
        <f t="shared" ref="M37:N38" si="9">G37*4+I37*9+K37*4</f>
        <v>70.319999999999993</v>
      </c>
      <c r="N37" s="35">
        <f t="shared" si="9"/>
        <v>93.759999999999991</v>
      </c>
    </row>
    <row r="38" spans="2:26" x14ac:dyDescent="0.25">
      <c r="B38" s="232"/>
      <c r="C38" s="20" t="s">
        <v>50</v>
      </c>
      <c r="D38" s="9" t="s">
        <v>16</v>
      </c>
      <c r="E38" s="57">
        <v>200</v>
      </c>
      <c r="F38" s="31">
        <v>200</v>
      </c>
      <c r="G38" s="22">
        <f>E38*0.2/200</f>
        <v>0.2</v>
      </c>
      <c r="H38" s="33">
        <f>F38*0.2/200</f>
        <v>0.2</v>
      </c>
      <c r="I38" s="22">
        <f t="shared" ref="I38:J38" si="10">E38*0.1/200</f>
        <v>0.1</v>
      </c>
      <c r="J38" s="33">
        <f t="shared" si="10"/>
        <v>0.1</v>
      </c>
      <c r="K38" s="22">
        <f>E38*9.3/200</f>
        <v>9.3000000000000007</v>
      </c>
      <c r="L38" s="33">
        <f>F38*9.3/200</f>
        <v>9.3000000000000007</v>
      </c>
      <c r="M38" s="22">
        <f t="shared" si="9"/>
        <v>38.900000000000006</v>
      </c>
      <c r="N38" s="35">
        <f t="shared" si="9"/>
        <v>38.900000000000006</v>
      </c>
    </row>
    <row r="39" spans="2:26" x14ac:dyDescent="0.25">
      <c r="B39" s="232"/>
      <c r="C39" s="26"/>
      <c r="D39" s="4" t="s">
        <v>13</v>
      </c>
      <c r="E39" s="24">
        <f t="shared" ref="E39:L39" si="11">SUM(E36:E38)</f>
        <v>380</v>
      </c>
      <c r="F39" s="32">
        <f t="shared" si="11"/>
        <v>440</v>
      </c>
      <c r="G39" s="7">
        <f t="shared" si="11"/>
        <v>9.004999999999999</v>
      </c>
      <c r="H39" s="34">
        <f t="shared" si="11"/>
        <v>11.939999999999998</v>
      </c>
      <c r="I39" s="7">
        <f t="shared" si="11"/>
        <v>5.95</v>
      </c>
      <c r="J39" s="34">
        <f t="shared" si="11"/>
        <v>7.9</v>
      </c>
      <c r="K39" s="7">
        <f t="shared" si="11"/>
        <v>47.61</v>
      </c>
      <c r="L39" s="34">
        <f t="shared" si="11"/>
        <v>60.379999999999995</v>
      </c>
      <c r="M39" s="7">
        <f t="shared" ref="M39:N39" si="12">G39*4+I39*9+K39*4</f>
        <v>280.01</v>
      </c>
      <c r="N39" s="36">
        <f t="shared" si="12"/>
        <v>360.38</v>
      </c>
    </row>
    <row r="40" spans="2:26" x14ac:dyDescent="0.25">
      <c r="B40" s="232"/>
      <c r="C40" s="200" t="s">
        <v>9</v>
      </c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2"/>
    </row>
    <row r="41" spans="2:26" x14ac:dyDescent="0.25">
      <c r="B41" s="232"/>
      <c r="C41" s="96" t="s">
        <v>186</v>
      </c>
      <c r="D41" s="9" t="s">
        <v>187</v>
      </c>
      <c r="E41" s="84">
        <v>60</v>
      </c>
      <c r="F41" s="37">
        <v>100</v>
      </c>
      <c r="G41" s="22">
        <f>E41*1.4/100</f>
        <v>0.84</v>
      </c>
      <c r="H41" s="33">
        <f>F41*1.4/100</f>
        <v>1.4</v>
      </c>
      <c r="I41" s="22">
        <f>E41*6.1/100</f>
        <v>3.66</v>
      </c>
      <c r="J41" s="33">
        <f>F41*6.1/100</f>
        <v>6.1</v>
      </c>
      <c r="K41" s="22">
        <f>E41*7.63/100</f>
        <v>4.5780000000000003</v>
      </c>
      <c r="L41" s="33">
        <f>F41*7.63/100</f>
        <v>7.63</v>
      </c>
      <c r="M41" s="23">
        <f t="shared" ref="M41:N48" si="13">G41*4+I41*9+K41*4</f>
        <v>54.611999999999995</v>
      </c>
      <c r="N41" s="41">
        <f t="shared" si="13"/>
        <v>91.02</v>
      </c>
    </row>
    <row r="42" spans="2:26" s="16" customFormat="1" x14ac:dyDescent="0.25">
      <c r="B42" s="232"/>
      <c r="C42" s="107" t="s">
        <v>82</v>
      </c>
      <c r="D42" s="8" t="s">
        <v>83</v>
      </c>
      <c r="E42" s="84">
        <v>200</v>
      </c>
      <c r="F42" s="37">
        <v>250</v>
      </c>
      <c r="G42" s="22">
        <f>E42*0.8/100</f>
        <v>1.6</v>
      </c>
      <c r="H42" s="33">
        <f>F42*0.8/100</f>
        <v>2</v>
      </c>
      <c r="I42" s="22">
        <f>E42*1.72/100</f>
        <v>3.44</v>
      </c>
      <c r="J42" s="33">
        <f>F42*1.72/100</f>
        <v>4.3</v>
      </c>
      <c r="K42" s="22">
        <f>E42*4/100</f>
        <v>8</v>
      </c>
      <c r="L42" s="33">
        <f>F42*4/100</f>
        <v>10</v>
      </c>
      <c r="M42" s="22">
        <f t="shared" si="13"/>
        <v>69.36</v>
      </c>
      <c r="N42" s="35">
        <f>H42*4+J42*9+L42*4</f>
        <v>86.699999999999989</v>
      </c>
      <c r="Q42" s="16" t="s">
        <v>24</v>
      </c>
    </row>
    <row r="43" spans="2:26" s="16" customFormat="1" x14ac:dyDescent="0.25">
      <c r="B43" s="232"/>
      <c r="C43" s="107" t="s">
        <v>114</v>
      </c>
      <c r="D43" s="8" t="s">
        <v>115</v>
      </c>
      <c r="E43" s="84">
        <v>90</v>
      </c>
      <c r="F43" s="31">
        <v>100</v>
      </c>
      <c r="G43" s="22">
        <f>E43*15.3/100</f>
        <v>13.77</v>
      </c>
      <c r="H43" s="33">
        <f>F43*15.3/100</f>
        <v>15.3</v>
      </c>
      <c r="I43" s="22">
        <f>E43*11/100</f>
        <v>9.9</v>
      </c>
      <c r="J43" s="33">
        <f>F43*11/100</f>
        <v>11</v>
      </c>
      <c r="K43" s="22">
        <f>E43*13.3/100</f>
        <v>11.97</v>
      </c>
      <c r="L43" s="33">
        <f>F43*13.3/100</f>
        <v>13.3</v>
      </c>
      <c r="M43" s="23">
        <f t="shared" si="13"/>
        <v>192.06</v>
      </c>
      <c r="N43" s="41">
        <f t="shared" si="13"/>
        <v>213.39999999999998</v>
      </c>
    </row>
    <row r="44" spans="2:26" x14ac:dyDescent="0.25">
      <c r="B44" s="232"/>
      <c r="C44" s="107" t="s">
        <v>20</v>
      </c>
      <c r="D44" s="9" t="s">
        <v>21</v>
      </c>
      <c r="E44" s="84">
        <v>150</v>
      </c>
      <c r="F44" s="31">
        <v>180</v>
      </c>
      <c r="G44" s="22">
        <f>E44*2.1/100</f>
        <v>3.15</v>
      </c>
      <c r="H44" s="33">
        <f>F44*2.1/100</f>
        <v>3.78</v>
      </c>
      <c r="I44" s="22">
        <f>E44*3.5/100</f>
        <v>5.25</v>
      </c>
      <c r="J44" s="33">
        <f>F44*3.5/100</f>
        <v>6.3</v>
      </c>
      <c r="K44" s="22">
        <f>E44*14.6/100</f>
        <v>21.9</v>
      </c>
      <c r="L44" s="33">
        <f>F44*14.6/100</f>
        <v>26.28</v>
      </c>
      <c r="M44" s="22">
        <f t="shared" si="13"/>
        <v>147.44999999999999</v>
      </c>
      <c r="N44" s="35">
        <f t="shared" si="13"/>
        <v>176.94</v>
      </c>
    </row>
    <row r="45" spans="2:26" s="16" customFormat="1" x14ac:dyDescent="0.25">
      <c r="B45" s="232"/>
      <c r="C45" s="107" t="s">
        <v>76</v>
      </c>
      <c r="D45" s="9" t="s">
        <v>77</v>
      </c>
      <c r="E45" s="84">
        <v>40</v>
      </c>
      <c r="F45" s="31">
        <v>50</v>
      </c>
      <c r="G45" s="22">
        <f>E45*1.3/50</f>
        <v>1.04</v>
      </c>
      <c r="H45" s="33">
        <f>F45*1.3/50</f>
        <v>1.3</v>
      </c>
      <c r="I45" s="22">
        <f>E45*4.8/50</f>
        <v>3.84</v>
      </c>
      <c r="J45" s="33">
        <f>F45*4.8/50</f>
        <v>4.8</v>
      </c>
      <c r="K45" s="22">
        <f>E45*4.7/50</f>
        <v>3.76</v>
      </c>
      <c r="L45" s="33">
        <f>F45*4.7/50</f>
        <v>4.7</v>
      </c>
      <c r="M45" s="22">
        <f t="shared" si="13"/>
        <v>53.76</v>
      </c>
      <c r="N45" s="35">
        <f t="shared" si="13"/>
        <v>67.2</v>
      </c>
    </row>
    <row r="46" spans="2:26" x14ac:dyDescent="0.25">
      <c r="B46" s="232"/>
      <c r="C46" s="21" t="s">
        <v>49</v>
      </c>
      <c r="D46" s="6" t="s">
        <v>11</v>
      </c>
      <c r="E46" s="84">
        <v>200</v>
      </c>
      <c r="F46" s="31">
        <v>200</v>
      </c>
      <c r="G46" s="22">
        <f>E46*0.3/200</f>
        <v>0.3</v>
      </c>
      <c r="H46" s="33">
        <f>F46*0.3/200</f>
        <v>0.3</v>
      </c>
      <c r="I46" s="22">
        <f t="shared" ref="I46:J46" si="14">E46*0.1/200</f>
        <v>0.1</v>
      </c>
      <c r="J46" s="33">
        <f t="shared" si="14"/>
        <v>0.1</v>
      </c>
      <c r="K46" s="22">
        <f>E46*9.5/200</f>
        <v>9.5</v>
      </c>
      <c r="L46" s="33">
        <f>F46*9.5/200</f>
        <v>9.5</v>
      </c>
      <c r="M46" s="22">
        <f t="shared" si="13"/>
        <v>40.1</v>
      </c>
      <c r="N46" s="35">
        <f t="shared" si="13"/>
        <v>40.1</v>
      </c>
    </row>
    <row r="47" spans="2:26" x14ac:dyDescent="0.25">
      <c r="B47" s="232"/>
      <c r="C47" s="21" t="s">
        <v>84</v>
      </c>
      <c r="D47" s="6" t="s">
        <v>22</v>
      </c>
      <c r="E47" s="59">
        <v>20</v>
      </c>
      <c r="F47" s="60">
        <v>20</v>
      </c>
      <c r="G47" s="22">
        <f>E47*8/100</f>
        <v>1.6</v>
      </c>
      <c r="H47" s="33">
        <f>F47*8/100</f>
        <v>1.6</v>
      </c>
      <c r="I47" s="22">
        <f>E47*1.5/100</f>
        <v>0.3</v>
      </c>
      <c r="J47" s="33">
        <f>F47*1.5/100</f>
        <v>0.3</v>
      </c>
      <c r="K47" s="22">
        <f>E47*40.1/100</f>
        <v>8.02</v>
      </c>
      <c r="L47" s="33">
        <f>F47*40.1/100</f>
        <v>8.02</v>
      </c>
      <c r="M47" s="22">
        <f t="shared" si="13"/>
        <v>41.18</v>
      </c>
      <c r="N47" s="35">
        <f t="shared" si="13"/>
        <v>41.18</v>
      </c>
    </row>
    <row r="48" spans="2:26" x14ac:dyDescent="0.25">
      <c r="B48" s="232"/>
      <c r="C48" s="21" t="s">
        <v>85</v>
      </c>
      <c r="D48" s="6" t="s">
        <v>86</v>
      </c>
      <c r="E48" s="59">
        <v>50</v>
      </c>
      <c r="F48" s="60">
        <v>50</v>
      </c>
      <c r="G48" s="22">
        <f>E48*7.6/100</f>
        <v>3.8</v>
      </c>
      <c r="H48" s="33">
        <f>F48*7.6/100</f>
        <v>3.8</v>
      </c>
      <c r="I48" s="22">
        <f>E48*0.8/100</f>
        <v>0.4</v>
      </c>
      <c r="J48" s="33">
        <f>F48*0.8/100</f>
        <v>0.4</v>
      </c>
      <c r="K48" s="22">
        <f>E48*49.2/100</f>
        <v>24.6</v>
      </c>
      <c r="L48" s="33">
        <f>F48*49.2/100</f>
        <v>24.6</v>
      </c>
      <c r="M48" s="22">
        <f t="shared" si="13"/>
        <v>117.2</v>
      </c>
      <c r="N48" s="35">
        <f t="shared" si="13"/>
        <v>117.2</v>
      </c>
    </row>
    <row r="49" spans="2:14" x14ac:dyDescent="0.25">
      <c r="B49" s="232"/>
      <c r="C49" s="21"/>
      <c r="D49" s="4" t="s">
        <v>14</v>
      </c>
      <c r="E49" s="24">
        <f t="shared" ref="E49:N49" si="15">SUM(E41:E48)</f>
        <v>810</v>
      </c>
      <c r="F49" s="38">
        <f t="shared" si="15"/>
        <v>950</v>
      </c>
      <c r="G49" s="7">
        <f t="shared" si="15"/>
        <v>26.1</v>
      </c>
      <c r="H49" s="34">
        <f t="shared" si="15"/>
        <v>29.480000000000004</v>
      </c>
      <c r="I49" s="24">
        <f t="shared" si="15"/>
        <v>26.89</v>
      </c>
      <c r="J49" s="34">
        <f t="shared" si="15"/>
        <v>33.299999999999997</v>
      </c>
      <c r="K49" s="7">
        <f t="shared" si="15"/>
        <v>92.328000000000003</v>
      </c>
      <c r="L49" s="34">
        <f t="shared" si="15"/>
        <v>104.03</v>
      </c>
      <c r="M49" s="7">
        <f t="shared" si="15"/>
        <v>715.72199999999998</v>
      </c>
      <c r="N49" s="36">
        <f t="shared" si="15"/>
        <v>833.74</v>
      </c>
    </row>
    <row r="50" spans="2:14" ht="15.75" thickBot="1" x14ac:dyDescent="0.3">
      <c r="B50" s="232"/>
      <c r="C50" s="61"/>
      <c r="D50" s="62" t="s">
        <v>12</v>
      </c>
      <c r="E50" s="66"/>
      <c r="F50" s="67"/>
      <c r="G50" s="63">
        <f t="shared" ref="G50:N50" si="16">G39+G49</f>
        <v>35.105000000000004</v>
      </c>
      <c r="H50" s="64">
        <f t="shared" si="16"/>
        <v>41.42</v>
      </c>
      <c r="I50" s="63">
        <f t="shared" si="16"/>
        <v>32.840000000000003</v>
      </c>
      <c r="J50" s="64">
        <f t="shared" si="16"/>
        <v>41.199999999999996</v>
      </c>
      <c r="K50" s="63">
        <f t="shared" si="16"/>
        <v>139.93799999999999</v>
      </c>
      <c r="L50" s="64">
        <f t="shared" si="16"/>
        <v>164.41</v>
      </c>
      <c r="M50" s="63">
        <f t="shared" si="16"/>
        <v>995.73199999999997</v>
      </c>
      <c r="N50" s="65">
        <f t="shared" si="16"/>
        <v>1194.1199999999999</v>
      </c>
    </row>
    <row r="51" spans="2:14" x14ac:dyDescent="0.25">
      <c r="B51" s="233" t="s">
        <v>46</v>
      </c>
      <c r="C51" s="204" t="s">
        <v>8</v>
      </c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5"/>
    </row>
    <row r="52" spans="2:14" x14ac:dyDescent="0.25">
      <c r="B52" s="234"/>
      <c r="C52" s="107" t="s">
        <v>74</v>
      </c>
      <c r="D52" s="8" t="s">
        <v>23</v>
      </c>
      <c r="E52" s="84">
        <v>150</v>
      </c>
      <c r="F52" s="30">
        <v>200</v>
      </c>
      <c r="G52" s="22">
        <f>E52*3.63/100</f>
        <v>5.4450000000000003</v>
      </c>
      <c r="H52" s="33">
        <f>F52*3.63/100</f>
        <v>7.26</v>
      </c>
      <c r="I52" s="22">
        <f>E52*3.23/100</f>
        <v>4.8449999999999998</v>
      </c>
      <c r="J52" s="33">
        <f>F52*3.23/100</f>
        <v>6.46</v>
      </c>
      <c r="K52" s="22">
        <f>E52*17.68/100</f>
        <v>26.52</v>
      </c>
      <c r="L52" s="33">
        <f>F52*17.68/100</f>
        <v>35.36</v>
      </c>
      <c r="M52" s="22">
        <f t="shared" ref="M52:N52" si="17">G52*4+I52*9+K52*4</f>
        <v>171.46499999999997</v>
      </c>
      <c r="N52" s="35">
        <f t="shared" si="17"/>
        <v>228.62</v>
      </c>
    </row>
    <row r="53" spans="2:14" x14ac:dyDescent="0.25">
      <c r="B53" s="234"/>
      <c r="C53" s="98" t="s">
        <v>85</v>
      </c>
      <c r="D53" s="6" t="s">
        <v>86</v>
      </c>
      <c r="E53" s="59">
        <v>30</v>
      </c>
      <c r="F53" s="60">
        <v>40</v>
      </c>
      <c r="G53" s="22">
        <f>E53*7.6/100</f>
        <v>2.2799999999999998</v>
      </c>
      <c r="H53" s="33">
        <f>F53*7.6/100</f>
        <v>3.04</v>
      </c>
      <c r="I53" s="22">
        <f>E53*0.8/100</f>
        <v>0.24</v>
      </c>
      <c r="J53" s="33">
        <f>F53*0.8/100</f>
        <v>0.32</v>
      </c>
      <c r="K53" s="22">
        <f>E53*49.2/100</f>
        <v>14.76</v>
      </c>
      <c r="L53" s="33">
        <f>F53*49.2/100</f>
        <v>19.68</v>
      </c>
      <c r="M53" s="22">
        <f t="shared" ref="M53:N54" si="18">G53*4+I53*9+K53*4</f>
        <v>70.319999999999993</v>
      </c>
      <c r="N53" s="35">
        <f t="shared" si="18"/>
        <v>93.759999999999991</v>
      </c>
    </row>
    <row r="54" spans="2:14" x14ac:dyDescent="0.25">
      <c r="B54" s="234"/>
      <c r="C54" s="98" t="s">
        <v>49</v>
      </c>
      <c r="D54" s="6" t="s">
        <v>11</v>
      </c>
      <c r="E54" s="84">
        <v>200</v>
      </c>
      <c r="F54" s="31">
        <v>200</v>
      </c>
      <c r="G54" s="22">
        <f>E54*0.3/200</f>
        <v>0.3</v>
      </c>
      <c r="H54" s="33">
        <f>F54*0.3/200</f>
        <v>0.3</v>
      </c>
      <c r="I54" s="22">
        <f t="shared" ref="I54" si="19">E54*0.1/200</f>
        <v>0.1</v>
      </c>
      <c r="J54" s="33">
        <f t="shared" ref="J54" si="20">F54*0.1/200</f>
        <v>0.1</v>
      </c>
      <c r="K54" s="22">
        <f>E54*9.5/200</f>
        <v>9.5</v>
      </c>
      <c r="L54" s="33">
        <f>F54*9.5/200</f>
        <v>9.5</v>
      </c>
      <c r="M54" s="22">
        <f t="shared" si="18"/>
        <v>40.1</v>
      </c>
      <c r="N54" s="35">
        <f t="shared" si="18"/>
        <v>40.1</v>
      </c>
    </row>
    <row r="55" spans="2:14" x14ac:dyDescent="0.25">
      <c r="B55" s="234"/>
      <c r="C55" s="99"/>
      <c r="D55" s="4" t="s">
        <v>13</v>
      </c>
      <c r="E55" s="24">
        <f t="shared" ref="E55:L55" si="21">SUM(E52:E54)</f>
        <v>380</v>
      </c>
      <c r="F55" s="32">
        <f t="shared" si="21"/>
        <v>440</v>
      </c>
      <c r="G55" s="7">
        <f t="shared" si="21"/>
        <v>8.0250000000000004</v>
      </c>
      <c r="H55" s="34">
        <f t="shared" si="21"/>
        <v>10.600000000000001</v>
      </c>
      <c r="I55" s="7">
        <f t="shared" si="21"/>
        <v>5.1849999999999996</v>
      </c>
      <c r="J55" s="34">
        <f t="shared" si="21"/>
        <v>6.88</v>
      </c>
      <c r="K55" s="7">
        <f t="shared" si="21"/>
        <v>50.78</v>
      </c>
      <c r="L55" s="34">
        <f t="shared" si="21"/>
        <v>64.539999999999992</v>
      </c>
      <c r="M55" s="7">
        <f t="shared" ref="M55:N55" si="22">G55*4+I55*9+K55*4</f>
        <v>281.88499999999999</v>
      </c>
      <c r="N55" s="36">
        <f t="shared" si="22"/>
        <v>362.47999999999996</v>
      </c>
    </row>
    <row r="56" spans="2:14" x14ac:dyDescent="0.25">
      <c r="B56" s="234"/>
      <c r="C56" s="201" t="s">
        <v>9</v>
      </c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2"/>
    </row>
    <row r="57" spans="2:14" x14ac:dyDescent="0.25">
      <c r="B57" s="234"/>
      <c r="C57" s="107" t="s">
        <v>95</v>
      </c>
      <c r="D57" s="9" t="s">
        <v>96</v>
      </c>
      <c r="E57" s="105">
        <v>60</v>
      </c>
      <c r="F57" s="43">
        <v>100</v>
      </c>
      <c r="G57" s="23">
        <f>E57*0.7/100</f>
        <v>0.42</v>
      </c>
      <c r="H57" s="44">
        <f>F57*0.7/100</f>
        <v>0.7</v>
      </c>
      <c r="I57" s="23">
        <f>E57*0.1/100</f>
        <v>0.06</v>
      </c>
      <c r="J57" s="44">
        <f>F57*0.1/100</f>
        <v>0.1</v>
      </c>
      <c r="K57" s="23">
        <f>E57*1.9/100</f>
        <v>1.1399999999999999</v>
      </c>
      <c r="L57" s="44">
        <f>F57*1.9/100</f>
        <v>1.9</v>
      </c>
      <c r="M57" s="23">
        <f t="shared" ref="M57:N63" si="23">G57*4+I57*9+K57*4</f>
        <v>6.7799999999999994</v>
      </c>
      <c r="N57" s="41">
        <f t="shared" si="23"/>
        <v>11.299999999999999</v>
      </c>
    </row>
    <row r="58" spans="2:14" s="16" customFormat="1" ht="16.5" customHeight="1" x14ac:dyDescent="0.25">
      <c r="B58" s="234"/>
      <c r="C58" s="55" t="s">
        <v>78</v>
      </c>
      <c r="D58" s="9" t="s">
        <v>79</v>
      </c>
      <c r="E58" s="84">
        <v>200</v>
      </c>
      <c r="F58" s="37">
        <v>250</v>
      </c>
      <c r="G58" s="22">
        <f>E58*1.05/100</f>
        <v>2.1</v>
      </c>
      <c r="H58" s="33">
        <f>F58*1.05/100</f>
        <v>2.625</v>
      </c>
      <c r="I58" s="22">
        <f>E58*2.04/100</f>
        <v>4.08</v>
      </c>
      <c r="J58" s="33">
        <f>F58*2.04/100</f>
        <v>5.0999999999999996</v>
      </c>
      <c r="K58" s="22">
        <f>E58*5.3/100</f>
        <v>10.6</v>
      </c>
      <c r="L58" s="33">
        <f>F58*5.3/100</f>
        <v>13.25</v>
      </c>
      <c r="M58" s="23">
        <f t="shared" si="23"/>
        <v>87.52</v>
      </c>
      <c r="N58" s="41">
        <f t="shared" si="23"/>
        <v>109.4</v>
      </c>
    </row>
    <row r="59" spans="2:14" s="16" customFormat="1" ht="16.5" customHeight="1" x14ac:dyDescent="0.25">
      <c r="B59" s="234"/>
      <c r="C59" s="107" t="s">
        <v>160</v>
      </c>
      <c r="D59" s="9" t="s">
        <v>161</v>
      </c>
      <c r="E59" s="84">
        <v>90</v>
      </c>
      <c r="F59" s="31">
        <v>100</v>
      </c>
      <c r="G59" s="22">
        <f>E59*13.5/100</f>
        <v>12.15</v>
      </c>
      <c r="H59" s="33">
        <f>F59*13.5/100</f>
        <v>13.5</v>
      </c>
      <c r="I59" s="22">
        <f>E59*21/100</f>
        <v>18.899999999999999</v>
      </c>
      <c r="J59" s="33">
        <f>F59*21/100</f>
        <v>21</v>
      </c>
      <c r="K59" s="22">
        <f>E59*9.9/100</f>
        <v>8.91</v>
      </c>
      <c r="L59" s="33">
        <f>F59*9.9/100</f>
        <v>9.9</v>
      </c>
      <c r="M59" s="22">
        <f t="shared" si="23"/>
        <v>254.33999999999997</v>
      </c>
      <c r="N59" s="35">
        <f t="shared" si="23"/>
        <v>282.60000000000002</v>
      </c>
    </row>
    <row r="60" spans="2:14" s="16" customFormat="1" ht="15" customHeight="1" x14ac:dyDescent="0.25">
      <c r="B60" s="234"/>
      <c r="C60" s="21" t="s">
        <v>35</v>
      </c>
      <c r="D60" s="6" t="s">
        <v>202</v>
      </c>
      <c r="E60" s="84">
        <v>150</v>
      </c>
      <c r="F60" s="31">
        <v>180</v>
      </c>
      <c r="G60" s="22">
        <f>E60*3.63/100</f>
        <v>5.4450000000000003</v>
      </c>
      <c r="H60" s="33">
        <f>F60*3.63/100</f>
        <v>6.5339999999999998</v>
      </c>
      <c r="I60" s="22">
        <f>E60*4.5/100</f>
        <v>6.75</v>
      </c>
      <c r="J60" s="33">
        <f>F60*4.5/100</f>
        <v>8.1</v>
      </c>
      <c r="K60" s="22">
        <f>E60*22.5/100</f>
        <v>33.75</v>
      </c>
      <c r="L60" s="33">
        <f>F60*22.5/100</f>
        <v>40.5</v>
      </c>
      <c r="M60" s="22">
        <f t="shared" si="23"/>
        <v>217.53</v>
      </c>
      <c r="N60" s="35">
        <f t="shared" si="23"/>
        <v>261.036</v>
      </c>
    </row>
    <row r="61" spans="2:14" x14ac:dyDescent="0.25">
      <c r="B61" s="234"/>
      <c r="C61" s="117" t="s">
        <v>162</v>
      </c>
      <c r="D61" s="118" t="s">
        <v>163</v>
      </c>
      <c r="E61" s="119">
        <v>200</v>
      </c>
      <c r="F61" s="120">
        <v>200</v>
      </c>
      <c r="G61" s="121">
        <f>E61*0.05/100</f>
        <v>0.1</v>
      </c>
      <c r="H61" s="122">
        <f>F61*0.05/100</f>
        <v>0.1</v>
      </c>
      <c r="I61" s="121">
        <f>E61*0.05/100</f>
        <v>0.1</v>
      </c>
      <c r="J61" s="122">
        <f>F61*0.05/100</f>
        <v>0.1</v>
      </c>
      <c r="K61" s="121">
        <f>E61*5.55/100</f>
        <v>11.1</v>
      </c>
      <c r="L61" s="122">
        <f>F61*5.55/100</f>
        <v>11.1</v>
      </c>
      <c r="M61" s="121">
        <f t="shared" si="23"/>
        <v>45.699999999999996</v>
      </c>
      <c r="N61" s="123">
        <f t="shared" si="23"/>
        <v>45.699999999999996</v>
      </c>
    </row>
    <row r="62" spans="2:14" x14ac:dyDescent="0.25">
      <c r="B62" s="234"/>
      <c r="C62" s="21" t="s">
        <v>84</v>
      </c>
      <c r="D62" s="6" t="s">
        <v>22</v>
      </c>
      <c r="E62" s="59">
        <v>20</v>
      </c>
      <c r="F62" s="60">
        <v>20</v>
      </c>
      <c r="G62" s="22">
        <f>E62*8/100</f>
        <v>1.6</v>
      </c>
      <c r="H62" s="33">
        <f>F62*8/100</f>
        <v>1.6</v>
      </c>
      <c r="I62" s="22">
        <f>E62*1.5/100</f>
        <v>0.3</v>
      </c>
      <c r="J62" s="33">
        <f>F62*1.5/100</f>
        <v>0.3</v>
      </c>
      <c r="K62" s="22">
        <f>E62*40.1/100</f>
        <v>8.02</v>
      </c>
      <c r="L62" s="33">
        <f>F62*40.1/100</f>
        <v>8.02</v>
      </c>
      <c r="M62" s="22">
        <f t="shared" si="23"/>
        <v>41.18</v>
      </c>
      <c r="N62" s="35">
        <f t="shared" si="23"/>
        <v>41.18</v>
      </c>
    </row>
    <row r="63" spans="2:14" x14ac:dyDescent="0.25">
      <c r="B63" s="234"/>
      <c r="C63" s="21" t="s">
        <v>85</v>
      </c>
      <c r="D63" s="6" t="s">
        <v>86</v>
      </c>
      <c r="E63" s="59">
        <v>40</v>
      </c>
      <c r="F63" s="60">
        <v>50</v>
      </c>
      <c r="G63" s="22">
        <f>E63*7.6/100</f>
        <v>3.04</v>
      </c>
      <c r="H63" s="33">
        <f>F63*7.6/100</f>
        <v>3.8</v>
      </c>
      <c r="I63" s="22">
        <f>E63*0.8/100</f>
        <v>0.32</v>
      </c>
      <c r="J63" s="33">
        <f>F63*0.8/100</f>
        <v>0.4</v>
      </c>
      <c r="K63" s="22">
        <f>E63*49.2/100</f>
        <v>19.68</v>
      </c>
      <c r="L63" s="33">
        <f>F63*49.2/100</f>
        <v>24.6</v>
      </c>
      <c r="M63" s="22">
        <f t="shared" si="23"/>
        <v>93.759999999999991</v>
      </c>
      <c r="N63" s="35">
        <f t="shared" si="23"/>
        <v>117.2</v>
      </c>
    </row>
    <row r="64" spans="2:14" x14ac:dyDescent="0.25">
      <c r="B64" s="234"/>
      <c r="C64" s="98"/>
      <c r="D64" s="4" t="s">
        <v>14</v>
      </c>
      <c r="E64" s="24">
        <f t="shared" ref="E64:N64" si="24">SUM(E57:E63)</f>
        <v>760</v>
      </c>
      <c r="F64" s="38">
        <f t="shared" si="24"/>
        <v>900</v>
      </c>
      <c r="G64" s="7">
        <f t="shared" si="24"/>
        <v>24.855000000000004</v>
      </c>
      <c r="H64" s="34">
        <f t="shared" si="24"/>
        <v>28.859000000000002</v>
      </c>
      <c r="I64" s="24">
        <f t="shared" si="24"/>
        <v>30.51</v>
      </c>
      <c r="J64" s="34">
        <f t="shared" si="24"/>
        <v>35.099999999999994</v>
      </c>
      <c r="K64" s="7">
        <f t="shared" si="24"/>
        <v>93.199999999999989</v>
      </c>
      <c r="L64" s="34">
        <f t="shared" si="24"/>
        <v>109.26999999999998</v>
      </c>
      <c r="M64" s="7">
        <f t="shared" si="24"/>
        <v>746.81</v>
      </c>
      <c r="N64" s="36">
        <f t="shared" si="24"/>
        <v>868.41600000000005</v>
      </c>
    </row>
    <row r="65" spans="2:14" x14ac:dyDescent="0.25">
      <c r="B65" s="234"/>
      <c r="C65" s="101"/>
      <c r="D65" s="62" t="s">
        <v>12</v>
      </c>
      <c r="E65" s="66"/>
      <c r="F65" s="67"/>
      <c r="G65" s="63">
        <f t="shared" ref="G65:N65" si="25">G55+G64</f>
        <v>32.880000000000003</v>
      </c>
      <c r="H65" s="64">
        <f t="shared" si="25"/>
        <v>39.459000000000003</v>
      </c>
      <c r="I65" s="63">
        <f t="shared" si="25"/>
        <v>35.695</v>
      </c>
      <c r="J65" s="64">
        <f t="shared" si="25"/>
        <v>41.98</v>
      </c>
      <c r="K65" s="63">
        <f t="shared" si="25"/>
        <v>143.97999999999999</v>
      </c>
      <c r="L65" s="64">
        <f t="shared" si="25"/>
        <v>173.80999999999997</v>
      </c>
      <c r="M65" s="63">
        <f t="shared" si="25"/>
        <v>1028.6949999999999</v>
      </c>
      <c r="N65" s="65">
        <f t="shared" si="25"/>
        <v>1230.896</v>
      </c>
    </row>
    <row r="66" spans="2:14" s="16" customFormat="1" x14ac:dyDescent="0.25">
      <c r="B66" s="234"/>
      <c r="C66" s="236" t="s">
        <v>190</v>
      </c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8"/>
    </row>
    <row r="67" spans="2:14" s="16" customFormat="1" ht="15.75" thickBot="1" x14ac:dyDescent="0.3">
      <c r="B67" s="235"/>
      <c r="C67" s="124" t="s">
        <v>118</v>
      </c>
      <c r="D67" s="125" t="s">
        <v>189</v>
      </c>
      <c r="E67" s="18">
        <v>150</v>
      </c>
      <c r="F67" s="39">
        <v>180</v>
      </c>
      <c r="G67" s="102">
        <f>E67*11/100</f>
        <v>16.5</v>
      </c>
      <c r="H67" s="103">
        <f>F67*11/100</f>
        <v>19.8</v>
      </c>
      <c r="I67" s="102">
        <f>E67*2.5/100</f>
        <v>3.75</v>
      </c>
      <c r="J67" s="103">
        <f>F67*2.5/100</f>
        <v>4.5</v>
      </c>
      <c r="K67" s="102">
        <f>E67*19.85/100</f>
        <v>29.774999999999999</v>
      </c>
      <c r="L67" s="103">
        <f>F67*19.85/100</f>
        <v>35.730000000000004</v>
      </c>
      <c r="M67" s="102">
        <f t="shared" ref="M67:N67" si="26">G67*4+I67*9+K67*4</f>
        <v>218.85</v>
      </c>
      <c r="N67" s="104">
        <f t="shared" si="26"/>
        <v>262.62</v>
      </c>
    </row>
    <row r="68" spans="2:14" ht="15.75" x14ac:dyDescent="0.25">
      <c r="B68" s="227" t="s">
        <v>18</v>
      </c>
      <c r="C68" s="227"/>
      <c r="D68" s="227"/>
      <c r="E68" s="227"/>
      <c r="H68" s="15"/>
    </row>
    <row r="69" spans="2:14" x14ac:dyDescent="0.25">
      <c r="H69" s="1"/>
    </row>
    <row r="73" spans="2:14" x14ac:dyDescent="0.25">
      <c r="D73" s="12" t="s">
        <v>24</v>
      </c>
    </row>
    <row r="82" spans="6:10" x14ac:dyDescent="0.25">
      <c r="F82" s="1"/>
    </row>
    <row r="90" spans="6:10" x14ac:dyDescent="0.25">
      <c r="J90" s="1"/>
    </row>
  </sheetData>
  <mergeCells count="26">
    <mergeCell ref="C56:N56"/>
    <mergeCell ref="B68:E68"/>
    <mergeCell ref="B17:B19"/>
    <mergeCell ref="C51:N51"/>
    <mergeCell ref="B20:B34"/>
    <mergeCell ref="B35:B50"/>
    <mergeCell ref="B51:B67"/>
    <mergeCell ref="C66:N66"/>
    <mergeCell ref="C3:G3"/>
    <mergeCell ref="C5:F5"/>
    <mergeCell ref="D12:N12"/>
    <mergeCell ref="D13:M13"/>
    <mergeCell ref="D14:M14"/>
    <mergeCell ref="D15:M15"/>
    <mergeCell ref="C40:N40"/>
    <mergeCell ref="C20:N20"/>
    <mergeCell ref="C25:N25"/>
    <mergeCell ref="C35:N35"/>
    <mergeCell ref="C17:C19"/>
    <mergeCell ref="D17:D19"/>
    <mergeCell ref="E17:F18"/>
    <mergeCell ref="G17:L17"/>
    <mergeCell ref="M17:N18"/>
    <mergeCell ref="G18:H18"/>
    <mergeCell ref="I18:J18"/>
    <mergeCell ref="K18:L18"/>
  </mergeCells>
  <pageMargins left="0.23622047244094491" right="0.23622047244094491" top="0.19685039370078741" bottom="0.19685039370078741" header="0.31496062992125984" footer="0.31496062992125984"/>
  <pageSetup paperSize="9" scale="70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B1:Z45"/>
  <sheetViews>
    <sheetView zoomScale="90" zoomScaleNormal="90" zoomScalePageLayoutView="90" workbookViewId="0">
      <selection activeCell="F40" sqref="F40"/>
    </sheetView>
  </sheetViews>
  <sheetFormatPr defaultRowHeight="15" x14ac:dyDescent="0.25"/>
  <cols>
    <col min="1" max="1" width="3.7109375" style="14" customWidth="1"/>
    <col min="2" max="2" width="2.7109375" style="14" customWidth="1"/>
    <col min="3" max="3" width="10.5703125" style="14" customWidth="1"/>
    <col min="4" max="4" width="40.140625" style="14" customWidth="1"/>
    <col min="5" max="6" width="7.28515625" style="14" customWidth="1"/>
    <col min="7" max="7" width="6.7109375" style="14" customWidth="1"/>
    <col min="8" max="8" width="6.85546875" style="14" customWidth="1"/>
    <col min="9" max="9" width="6.42578125" style="14" customWidth="1"/>
    <col min="10" max="10" width="6.5703125" style="14" customWidth="1"/>
    <col min="11" max="11" width="7.5703125" style="14" customWidth="1"/>
    <col min="12" max="12" width="7.42578125" style="14" customWidth="1"/>
    <col min="13" max="13" width="8.5703125" style="14" customWidth="1"/>
    <col min="14" max="14" width="7.5703125" style="14" customWidth="1"/>
    <col min="15" max="15" width="9" style="14" customWidth="1"/>
    <col min="16" max="16" width="7.28515625" style="14" customWidth="1"/>
    <col min="17" max="20" width="9.140625" style="14"/>
    <col min="21" max="21" width="19.7109375" style="14" customWidth="1"/>
    <col min="22" max="22" width="7.7109375" style="14" customWidth="1"/>
    <col min="23" max="23" width="9.140625" style="14"/>
    <col min="24" max="24" width="7.7109375" style="14" customWidth="1"/>
    <col min="25" max="16384" width="9.140625" style="14"/>
  </cols>
  <sheetData>
    <row r="1" spans="2:26" ht="23.25" customHeight="1" x14ac:dyDescent="0.25"/>
    <row r="2" spans="2:26" ht="16.5" customHeight="1" thickBot="1" x14ac:dyDescent="0.3">
      <c r="B2" s="227" t="s">
        <v>18</v>
      </c>
      <c r="C2" s="227"/>
      <c r="D2" s="227"/>
      <c r="E2" s="227"/>
      <c r="O2" s="2"/>
      <c r="P2" s="2"/>
      <c r="Q2" s="1"/>
      <c r="R2" s="1"/>
      <c r="S2" s="1"/>
      <c r="T2" s="1"/>
      <c r="U2" s="2"/>
      <c r="V2" s="2"/>
      <c r="W2" s="1"/>
      <c r="X2" s="1"/>
      <c r="Y2" s="1"/>
      <c r="Z2" s="1"/>
    </row>
    <row r="3" spans="2:26" ht="15" customHeight="1" x14ac:dyDescent="0.25">
      <c r="B3" s="228" t="s">
        <v>45</v>
      </c>
      <c r="C3" s="206" t="s">
        <v>0</v>
      </c>
      <c r="D3" s="209" t="s">
        <v>1</v>
      </c>
      <c r="E3" s="212" t="s">
        <v>6</v>
      </c>
      <c r="F3" s="213"/>
      <c r="G3" s="216" t="s">
        <v>7</v>
      </c>
      <c r="H3" s="216"/>
      <c r="I3" s="216"/>
      <c r="J3" s="216"/>
      <c r="K3" s="216"/>
      <c r="L3" s="216"/>
      <c r="M3" s="217" t="s">
        <v>5</v>
      </c>
      <c r="N3" s="218"/>
      <c r="O3" s="1"/>
      <c r="P3" s="3"/>
      <c r="Q3" s="5"/>
      <c r="R3" s="5"/>
      <c r="S3" s="5"/>
      <c r="T3" s="5"/>
      <c r="U3" s="1"/>
      <c r="V3" s="3"/>
      <c r="W3" s="5"/>
      <c r="X3" s="5"/>
      <c r="Y3" s="5"/>
      <c r="Z3" s="5"/>
    </row>
    <row r="4" spans="2:26" x14ac:dyDescent="0.25">
      <c r="B4" s="229"/>
      <c r="C4" s="207"/>
      <c r="D4" s="210"/>
      <c r="E4" s="214"/>
      <c r="F4" s="215"/>
      <c r="G4" s="221" t="s">
        <v>3</v>
      </c>
      <c r="H4" s="221"/>
      <c r="I4" s="219" t="s">
        <v>2</v>
      </c>
      <c r="J4" s="219"/>
      <c r="K4" s="221" t="s">
        <v>4</v>
      </c>
      <c r="L4" s="221"/>
      <c r="M4" s="219"/>
      <c r="N4" s="220"/>
      <c r="O4" s="1"/>
      <c r="P4" s="3"/>
      <c r="Q4" s="5"/>
      <c r="R4" s="5"/>
      <c r="S4" s="5"/>
      <c r="T4" s="5"/>
      <c r="U4" s="1"/>
      <c r="V4" s="3"/>
      <c r="W4" s="5"/>
      <c r="X4" s="5"/>
      <c r="Y4" s="5"/>
      <c r="Z4" s="5"/>
    </row>
    <row r="5" spans="2:26" ht="27.75" customHeight="1" thickBot="1" x14ac:dyDescent="0.3">
      <c r="B5" s="230"/>
      <c r="C5" s="208"/>
      <c r="D5" s="211"/>
      <c r="E5" s="27" t="s">
        <v>15</v>
      </c>
      <c r="F5" s="28" t="s">
        <v>48</v>
      </c>
      <c r="G5" s="27" t="s">
        <v>15</v>
      </c>
      <c r="H5" s="28" t="s">
        <v>48</v>
      </c>
      <c r="I5" s="27" t="s">
        <v>15</v>
      </c>
      <c r="J5" s="28" t="s">
        <v>48</v>
      </c>
      <c r="K5" s="27" t="s">
        <v>15</v>
      </c>
      <c r="L5" s="28" t="s">
        <v>48</v>
      </c>
      <c r="M5" s="27" t="s">
        <v>15</v>
      </c>
      <c r="N5" s="29" t="s">
        <v>48</v>
      </c>
      <c r="O5" s="1"/>
      <c r="P5" s="3"/>
      <c r="Q5" s="5"/>
      <c r="R5" s="5"/>
      <c r="S5" s="5"/>
      <c r="T5" s="5"/>
      <c r="U5" s="1"/>
      <c r="V5" s="3"/>
      <c r="W5" s="5"/>
      <c r="X5" s="5"/>
      <c r="Y5" s="5"/>
      <c r="Z5" s="5"/>
    </row>
    <row r="6" spans="2:26" ht="15" customHeight="1" x14ac:dyDescent="0.25">
      <c r="B6" s="233" t="s">
        <v>51</v>
      </c>
      <c r="C6" s="204" t="s">
        <v>8</v>
      </c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5"/>
      <c r="O6" s="1"/>
      <c r="P6" s="3"/>
      <c r="Q6" s="5"/>
      <c r="R6" s="5"/>
      <c r="S6" s="5"/>
      <c r="T6" s="5"/>
      <c r="U6" s="1"/>
      <c r="V6" s="3"/>
      <c r="W6" s="5"/>
      <c r="X6" s="5"/>
      <c r="Y6" s="5"/>
      <c r="Z6" s="5"/>
    </row>
    <row r="7" spans="2:26" x14ac:dyDescent="0.25">
      <c r="B7" s="234"/>
      <c r="C7" s="107" t="s">
        <v>116</v>
      </c>
      <c r="D7" s="8" t="s">
        <v>117</v>
      </c>
      <c r="E7" s="84">
        <v>150</v>
      </c>
      <c r="F7" s="30">
        <v>200</v>
      </c>
      <c r="G7" s="22">
        <f>E7*3.62/100</f>
        <v>5.43</v>
      </c>
      <c r="H7" s="33">
        <f>F7*3.62/100</f>
        <v>7.24</v>
      </c>
      <c r="I7" s="22">
        <f>E7*3.32/100</f>
        <v>4.9800000000000004</v>
      </c>
      <c r="J7" s="33">
        <f>F7*3.32/100</f>
        <v>6.64</v>
      </c>
      <c r="K7" s="22">
        <f>E7*16.56/100</f>
        <v>24.84</v>
      </c>
      <c r="L7" s="33">
        <f>F7*16.56/100</f>
        <v>33.119999999999997</v>
      </c>
      <c r="M7" s="22">
        <f t="shared" ref="M7:N7" si="0">G7*4+I7*9+K7*4</f>
        <v>165.9</v>
      </c>
      <c r="N7" s="35">
        <f t="shared" si="0"/>
        <v>221.2</v>
      </c>
      <c r="O7" s="1"/>
      <c r="P7" s="3"/>
      <c r="Q7" s="5"/>
      <c r="R7" s="5"/>
      <c r="S7" s="5"/>
      <c r="T7" s="5"/>
      <c r="U7" s="1"/>
      <c r="V7" s="3"/>
      <c r="W7" s="5"/>
      <c r="X7" s="5"/>
      <c r="Y7" s="5"/>
      <c r="Z7" s="5"/>
    </row>
    <row r="8" spans="2:26" x14ac:dyDescent="0.25">
      <c r="B8" s="234"/>
      <c r="C8" s="98" t="s">
        <v>85</v>
      </c>
      <c r="D8" s="6" t="s">
        <v>86</v>
      </c>
      <c r="E8" s="59">
        <v>30</v>
      </c>
      <c r="F8" s="60">
        <v>40</v>
      </c>
      <c r="G8" s="22">
        <f>E8*7.6/100</f>
        <v>2.2799999999999998</v>
      </c>
      <c r="H8" s="33">
        <f>F8*7.6/100</f>
        <v>3.04</v>
      </c>
      <c r="I8" s="22">
        <f>E8*0.8/100</f>
        <v>0.24</v>
      </c>
      <c r="J8" s="33">
        <f>F8*0.8/100</f>
        <v>0.32</v>
      </c>
      <c r="K8" s="22">
        <f>E8*49.2/100</f>
        <v>14.76</v>
      </c>
      <c r="L8" s="33">
        <f>F8*49.2/100</f>
        <v>19.68</v>
      </c>
      <c r="M8" s="22">
        <f t="shared" ref="M8:N9" si="1">G8*4+I8*9+K8*4</f>
        <v>70.319999999999993</v>
      </c>
      <c r="N8" s="35">
        <f t="shared" si="1"/>
        <v>93.759999999999991</v>
      </c>
      <c r="O8" s="1"/>
      <c r="P8" s="3"/>
      <c r="Q8" s="5"/>
      <c r="R8" s="5"/>
      <c r="S8" s="5"/>
      <c r="T8" s="5"/>
      <c r="U8" s="1"/>
      <c r="V8" s="3"/>
      <c r="W8" s="5"/>
      <c r="X8" s="5"/>
      <c r="Y8" s="5"/>
      <c r="Z8" s="5"/>
    </row>
    <row r="9" spans="2:26" x14ac:dyDescent="0.25">
      <c r="B9" s="234"/>
      <c r="C9" s="100" t="s">
        <v>50</v>
      </c>
      <c r="D9" s="9" t="s">
        <v>16</v>
      </c>
      <c r="E9" s="57">
        <v>200</v>
      </c>
      <c r="F9" s="31">
        <v>200</v>
      </c>
      <c r="G9" s="22">
        <f>E9*0.2/200</f>
        <v>0.2</v>
      </c>
      <c r="H9" s="33">
        <f>F9*0.2/200</f>
        <v>0.2</v>
      </c>
      <c r="I9" s="22">
        <f t="shared" ref="I9:J9" si="2">E9*0.1/200</f>
        <v>0.1</v>
      </c>
      <c r="J9" s="33">
        <f t="shared" si="2"/>
        <v>0.1</v>
      </c>
      <c r="K9" s="22">
        <f>E9*9.3/200</f>
        <v>9.3000000000000007</v>
      </c>
      <c r="L9" s="33">
        <f>F9*9.3/200</f>
        <v>9.3000000000000007</v>
      </c>
      <c r="M9" s="22">
        <f t="shared" si="1"/>
        <v>38.900000000000006</v>
      </c>
      <c r="N9" s="35">
        <f t="shared" si="1"/>
        <v>38.900000000000006</v>
      </c>
      <c r="O9" s="1"/>
      <c r="P9" s="3"/>
      <c r="Q9" s="5"/>
      <c r="R9" s="5"/>
      <c r="S9" s="5"/>
      <c r="T9" s="5"/>
      <c r="U9" s="1"/>
      <c r="V9" s="3"/>
      <c r="W9" s="5"/>
      <c r="X9" s="5"/>
      <c r="Y9" s="5"/>
      <c r="Z9" s="5"/>
    </row>
    <row r="10" spans="2:26" x14ac:dyDescent="0.25">
      <c r="B10" s="234"/>
      <c r="C10" s="99"/>
      <c r="D10" s="4" t="s">
        <v>13</v>
      </c>
      <c r="E10" s="24">
        <f t="shared" ref="E10:L10" si="3">SUM(E7:E9)</f>
        <v>380</v>
      </c>
      <c r="F10" s="32">
        <f t="shared" si="3"/>
        <v>440</v>
      </c>
      <c r="G10" s="7">
        <f t="shared" si="3"/>
        <v>7.9099999999999993</v>
      </c>
      <c r="H10" s="34">
        <f t="shared" si="3"/>
        <v>10.48</v>
      </c>
      <c r="I10" s="7">
        <f t="shared" si="3"/>
        <v>5.32</v>
      </c>
      <c r="J10" s="34">
        <f t="shared" si="3"/>
        <v>7.06</v>
      </c>
      <c r="K10" s="7">
        <f t="shared" si="3"/>
        <v>48.900000000000006</v>
      </c>
      <c r="L10" s="34">
        <f t="shared" si="3"/>
        <v>62.099999999999994</v>
      </c>
      <c r="M10" s="7">
        <f t="shared" ref="M10:N10" si="4">G10*4+I10*9+K10*4</f>
        <v>275.12</v>
      </c>
      <c r="N10" s="36">
        <f t="shared" si="4"/>
        <v>353.86</v>
      </c>
      <c r="O10" s="1"/>
      <c r="P10" s="3"/>
      <c r="Q10" s="5"/>
      <c r="R10" s="5"/>
      <c r="S10" s="5"/>
      <c r="T10" s="5"/>
      <c r="U10" s="1"/>
      <c r="V10" s="3"/>
      <c r="W10" s="5"/>
      <c r="X10" s="5"/>
      <c r="Y10" s="5"/>
      <c r="Z10" s="5"/>
    </row>
    <row r="11" spans="2:26" x14ac:dyDescent="0.25">
      <c r="B11" s="234"/>
      <c r="C11" s="242" t="s">
        <v>9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3"/>
      <c r="O11" s="1"/>
      <c r="P11" s="3"/>
      <c r="Q11" s="5"/>
      <c r="R11" s="5"/>
      <c r="S11" s="5"/>
      <c r="T11" s="5"/>
      <c r="U11" s="1"/>
      <c r="V11" s="3"/>
      <c r="W11" s="5"/>
      <c r="X11" s="5"/>
      <c r="Y11" s="5"/>
      <c r="Z11" s="5"/>
    </row>
    <row r="12" spans="2:26" x14ac:dyDescent="0.25">
      <c r="B12" s="234"/>
      <c r="C12" s="126" t="s">
        <v>90</v>
      </c>
      <c r="D12" s="9" t="s">
        <v>91</v>
      </c>
      <c r="E12" s="84">
        <v>60</v>
      </c>
      <c r="F12" s="37">
        <v>100</v>
      </c>
      <c r="G12" s="22">
        <f>E12*1.1/100</f>
        <v>0.66</v>
      </c>
      <c r="H12" s="33">
        <f>F12*1.1/100</f>
        <v>1.1000000000000001</v>
      </c>
      <c r="I12" s="22">
        <f>E12*0.2/100</f>
        <v>0.12</v>
      </c>
      <c r="J12" s="33">
        <f>F12*0.2/100</f>
        <v>0.2</v>
      </c>
      <c r="K12" s="22">
        <f>E12*3.8/100</f>
        <v>2.2799999999999998</v>
      </c>
      <c r="L12" s="33">
        <f>F12*3.8/100</f>
        <v>3.8</v>
      </c>
      <c r="M12" s="23">
        <f t="shared" ref="M12:N13" si="5">G12*4+I12*9+K12*4</f>
        <v>12.84</v>
      </c>
      <c r="N12" s="41">
        <f t="shared" si="5"/>
        <v>21.4</v>
      </c>
      <c r="O12" s="1"/>
      <c r="P12" s="3"/>
      <c r="Q12" s="5"/>
      <c r="R12" s="5"/>
      <c r="S12" s="5"/>
      <c r="T12" s="5"/>
      <c r="U12" s="1"/>
      <c r="V12" s="3"/>
      <c r="W12" s="5"/>
      <c r="X12" s="5"/>
      <c r="Y12" s="5"/>
      <c r="Z12" s="5"/>
    </row>
    <row r="13" spans="2:26" s="16" customFormat="1" x14ac:dyDescent="0.25">
      <c r="B13" s="234"/>
      <c r="C13" s="128" t="s">
        <v>119</v>
      </c>
      <c r="D13" s="133" t="s">
        <v>120</v>
      </c>
      <c r="E13" s="127">
        <v>200</v>
      </c>
      <c r="F13" s="43">
        <v>250</v>
      </c>
      <c r="G13" s="22">
        <f>E13*1.84/100</f>
        <v>3.68</v>
      </c>
      <c r="H13" s="33">
        <f>F13*1.84/100</f>
        <v>4.5999999999999996</v>
      </c>
      <c r="I13" s="22">
        <f>E13*2.91/100</f>
        <v>5.82</v>
      </c>
      <c r="J13" s="33">
        <f>F13*2.91/100</f>
        <v>7.2750000000000004</v>
      </c>
      <c r="K13" s="22">
        <f>E13*5.62/100</f>
        <v>11.24</v>
      </c>
      <c r="L13" s="33">
        <f>F13*5.62/100</f>
        <v>14.05</v>
      </c>
      <c r="M13" s="23">
        <f t="shared" si="5"/>
        <v>112.06</v>
      </c>
      <c r="N13" s="41">
        <f t="shared" si="5"/>
        <v>140.07499999999999</v>
      </c>
      <c r="O13" s="1"/>
      <c r="P13" s="3"/>
      <c r="Q13" s="5"/>
      <c r="R13" s="5"/>
      <c r="S13" s="5"/>
      <c r="T13" s="5"/>
      <c r="U13" s="1"/>
      <c r="V13" s="3"/>
      <c r="W13" s="5"/>
      <c r="X13" s="5"/>
      <c r="Y13" s="5"/>
      <c r="Z13" s="5"/>
    </row>
    <row r="14" spans="2:26" s="16" customFormat="1" ht="15" customHeight="1" x14ac:dyDescent="0.25">
      <c r="B14" s="234"/>
      <c r="C14" s="100" t="s">
        <v>156</v>
      </c>
      <c r="D14" s="9" t="s">
        <v>197</v>
      </c>
      <c r="E14" s="84">
        <v>90</v>
      </c>
      <c r="F14" s="31">
        <v>100</v>
      </c>
      <c r="G14" s="22">
        <f>E14*9.5/100</f>
        <v>8.5500000000000007</v>
      </c>
      <c r="H14" s="33">
        <f>F14*9.5/100</f>
        <v>9.5</v>
      </c>
      <c r="I14" s="22">
        <f>E14*11.07/100</f>
        <v>9.963000000000001</v>
      </c>
      <c r="J14" s="33">
        <f>F14*11.07/100</f>
        <v>11.07</v>
      </c>
      <c r="K14" s="22">
        <f>E14*2.2/100</f>
        <v>1.9800000000000002</v>
      </c>
      <c r="L14" s="33">
        <f>F14*2.2/100</f>
        <v>2.2000000000000002</v>
      </c>
      <c r="M14" s="22">
        <f t="shared" ref="M14:N18" si="6">G14*4+I14*9+K14*4</f>
        <v>131.78700000000001</v>
      </c>
      <c r="N14" s="35">
        <f t="shared" si="6"/>
        <v>146.43</v>
      </c>
      <c r="O14" s="1"/>
      <c r="P14" s="3"/>
      <c r="Q14" s="5"/>
      <c r="R14" s="5"/>
      <c r="S14" s="5"/>
      <c r="T14" s="5"/>
      <c r="U14" s="1"/>
      <c r="V14" s="3"/>
      <c r="W14" s="5"/>
      <c r="X14" s="5"/>
      <c r="Y14" s="5"/>
      <c r="Z14" s="5"/>
    </row>
    <row r="15" spans="2:26" s="16" customFormat="1" ht="15" customHeight="1" x14ac:dyDescent="0.25">
      <c r="B15" s="234"/>
      <c r="C15" s="98" t="s">
        <v>164</v>
      </c>
      <c r="D15" s="6" t="s">
        <v>165</v>
      </c>
      <c r="E15" s="84">
        <v>160</v>
      </c>
      <c r="F15" s="31">
        <v>180</v>
      </c>
      <c r="G15" s="22">
        <f>E15*2.3/100</f>
        <v>3.68</v>
      </c>
      <c r="H15" s="33">
        <f>F15*2.3/100</f>
        <v>4.1399999999999997</v>
      </c>
      <c r="I15" s="84">
        <f>E15*3.7/100</f>
        <v>5.92</v>
      </c>
      <c r="J15" s="33">
        <f>F15*3.7/100</f>
        <v>6.66</v>
      </c>
      <c r="K15" s="22">
        <f>E15*23.4/100</f>
        <v>37.44</v>
      </c>
      <c r="L15" s="33">
        <f>F15*23.4/100</f>
        <v>42.12</v>
      </c>
      <c r="M15" s="22">
        <f t="shared" si="6"/>
        <v>217.76</v>
      </c>
      <c r="N15" s="35">
        <f t="shared" si="6"/>
        <v>244.98</v>
      </c>
      <c r="O15" s="1"/>
      <c r="P15" s="3"/>
      <c r="Q15" s="5"/>
      <c r="R15" s="5"/>
      <c r="S15" s="5"/>
      <c r="T15" s="5"/>
      <c r="U15" s="1"/>
      <c r="V15" s="3"/>
      <c r="W15" s="5"/>
      <c r="X15" s="5"/>
      <c r="Y15" s="5"/>
      <c r="Z15" s="5"/>
    </row>
    <row r="16" spans="2:26" x14ac:dyDescent="0.25">
      <c r="B16" s="234"/>
      <c r="C16" s="100" t="s">
        <v>112</v>
      </c>
      <c r="D16" s="9" t="s">
        <v>113</v>
      </c>
      <c r="E16" s="84">
        <v>200</v>
      </c>
      <c r="F16" s="31">
        <v>200</v>
      </c>
      <c r="G16" s="22">
        <f>E16*0.67/200</f>
        <v>0.67</v>
      </c>
      <c r="H16" s="33">
        <f>F16*0.67/200</f>
        <v>0.67</v>
      </c>
      <c r="I16" s="22">
        <f>E16*0.27/200</f>
        <v>0.27</v>
      </c>
      <c r="J16" s="33">
        <f>F16*0.27/200</f>
        <v>0.27</v>
      </c>
      <c r="K16" s="22">
        <f>E16*18.3/200</f>
        <v>18.3</v>
      </c>
      <c r="L16" s="33">
        <f>F16*18.3/200</f>
        <v>18.3</v>
      </c>
      <c r="M16" s="22">
        <f t="shared" si="6"/>
        <v>78.31</v>
      </c>
      <c r="N16" s="35">
        <f t="shared" si="6"/>
        <v>78.31</v>
      </c>
      <c r="O16" s="1"/>
      <c r="P16" s="3"/>
      <c r="Q16" s="5"/>
      <c r="R16" s="5"/>
      <c r="S16" s="5"/>
      <c r="T16" s="5"/>
      <c r="U16" s="1"/>
      <c r="V16" s="3"/>
      <c r="W16" s="5"/>
      <c r="X16" s="5"/>
      <c r="Y16" s="5"/>
      <c r="Z16" s="5"/>
    </row>
    <row r="17" spans="2:26" x14ac:dyDescent="0.25">
      <c r="B17" s="234"/>
      <c r="C17" s="98" t="s">
        <v>84</v>
      </c>
      <c r="D17" s="6" t="s">
        <v>22</v>
      </c>
      <c r="E17" s="59">
        <v>25</v>
      </c>
      <c r="F17" s="60">
        <v>25</v>
      </c>
      <c r="G17" s="22">
        <f>E17*8/100</f>
        <v>2</v>
      </c>
      <c r="H17" s="33">
        <f>F17*8/100</f>
        <v>2</v>
      </c>
      <c r="I17" s="22">
        <f>E17*1.5/100</f>
        <v>0.375</v>
      </c>
      <c r="J17" s="33">
        <f>F17*1.5/100</f>
        <v>0.375</v>
      </c>
      <c r="K17" s="22">
        <f>E17*40.1/100</f>
        <v>10.025</v>
      </c>
      <c r="L17" s="33">
        <f>F17*40.1/100</f>
        <v>10.025</v>
      </c>
      <c r="M17" s="22">
        <f t="shared" si="6"/>
        <v>51.475000000000001</v>
      </c>
      <c r="N17" s="35">
        <f t="shared" si="6"/>
        <v>51.475000000000001</v>
      </c>
      <c r="O17" s="1"/>
      <c r="P17" s="3"/>
      <c r="Q17" s="5"/>
      <c r="R17" s="5"/>
      <c r="S17" s="5"/>
      <c r="T17" s="5"/>
      <c r="U17" s="1"/>
      <c r="V17" s="3"/>
      <c r="W17" s="5"/>
      <c r="X17" s="5"/>
      <c r="Y17" s="5"/>
      <c r="Z17" s="5"/>
    </row>
    <row r="18" spans="2:26" x14ac:dyDescent="0.25">
      <c r="B18" s="234"/>
      <c r="C18" s="98" t="s">
        <v>85</v>
      </c>
      <c r="D18" s="6" t="s">
        <v>86</v>
      </c>
      <c r="E18" s="59">
        <v>50</v>
      </c>
      <c r="F18" s="60">
        <v>50</v>
      </c>
      <c r="G18" s="22">
        <f>E18*7.6/100</f>
        <v>3.8</v>
      </c>
      <c r="H18" s="33">
        <f>F18*7.6/100</f>
        <v>3.8</v>
      </c>
      <c r="I18" s="22">
        <f>E18*0.8/100</f>
        <v>0.4</v>
      </c>
      <c r="J18" s="33">
        <f>F18*0.8/100</f>
        <v>0.4</v>
      </c>
      <c r="K18" s="22">
        <f>E18*49.2/100</f>
        <v>24.6</v>
      </c>
      <c r="L18" s="33">
        <f>F18*49.2/100</f>
        <v>24.6</v>
      </c>
      <c r="M18" s="22">
        <f t="shared" si="6"/>
        <v>117.2</v>
      </c>
      <c r="N18" s="35">
        <f t="shared" si="6"/>
        <v>117.2</v>
      </c>
      <c r="O18" s="1"/>
      <c r="P18" s="3"/>
      <c r="Q18" s="5"/>
      <c r="R18" s="5"/>
      <c r="S18" s="5"/>
      <c r="T18" s="5"/>
      <c r="U18" s="1"/>
      <c r="V18" s="3"/>
      <c r="W18" s="5"/>
      <c r="X18" s="5"/>
      <c r="Y18" s="5"/>
      <c r="Z18" s="5"/>
    </row>
    <row r="19" spans="2:26" x14ac:dyDescent="0.25">
      <c r="B19" s="234"/>
      <c r="C19" s="98"/>
      <c r="D19" s="4" t="s">
        <v>14</v>
      </c>
      <c r="E19" s="24">
        <f t="shared" ref="E19:N19" si="7">SUM(E12:E18)</f>
        <v>785</v>
      </c>
      <c r="F19" s="38">
        <f t="shared" si="7"/>
        <v>905</v>
      </c>
      <c r="G19" s="7">
        <f t="shared" si="7"/>
        <v>23.040000000000003</v>
      </c>
      <c r="H19" s="34">
        <f t="shared" si="7"/>
        <v>25.810000000000002</v>
      </c>
      <c r="I19" s="24">
        <f t="shared" si="7"/>
        <v>22.867999999999999</v>
      </c>
      <c r="J19" s="34">
        <f t="shared" si="7"/>
        <v>26.25</v>
      </c>
      <c r="K19" s="24">
        <f t="shared" si="7"/>
        <v>105.86500000000001</v>
      </c>
      <c r="L19" s="34">
        <f t="shared" si="7"/>
        <v>115.095</v>
      </c>
      <c r="M19" s="7">
        <f t="shared" si="7"/>
        <v>721.43200000000013</v>
      </c>
      <c r="N19" s="36">
        <f t="shared" si="7"/>
        <v>799.87</v>
      </c>
      <c r="O19" s="1"/>
      <c r="P19" s="3"/>
      <c r="Q19" s="5"/>
      <c r="R19" s="5"/>
      <c r="S19" s="5"/>
      <c r="T19" s="5"/>
      <c r="U19" s="1"/>
      <c r="V19" s="3"/>
      <c r="W19" s="5"/>
      <c r="X19" s="5"/>
      <c r="Y19" s="5"/>
      <c r="Z19" s="5"/>
    </row>
    <row r="20" spans="2:26" ht="15.75" thickBot="1" x14ac:dyDescent="0.3">
      <c r="B20" s="235"/>
      <c r="C20" s="101"/>
      <c r="D20" s="62" t="s">
        <v>12</v>
      </c>
      <c r="E20" s="66"/>
      <c r="F20" s="67"/>
      <c r="G20" s="63">
        <f t="shared" ref="G20:N20" si="8">G10+G19</f>
        <v>30.950000000000003</v>
      </c>
      <c r="H20" s="64">
        <f t="shared" si="8"/>
        <v>36.290000000000006</v>
      </c>
      <c r="I20" s="63">
        <f t="shared" si="8"/>
        <v>28.187999999999999</v>
      </c>
      <c r="J20" s="64">
        <f t="shared" si="8"/>
        <v>33.31</v>
      </c>
      <c r="K20" s="63">
        <f t="shared" si="8"/>
        <v>154.76500000000001</v>
      </c>
      <c r="L20" s="64">
        <f t="shared" si="8"/>
        <v>177.19499999999999</v>
      </c>
      <c r="M20" s="63">
        <f t="shared" si="8"/>
        <v>996.55200000000013</v>
      </c>
      <c r="N20" s="65">
        <f t="shared" si="8"/>
        <v>1153.73</v>
      </c>
      <c r="O20" s="1"/>
      <c r="P20" s="3"/>
      <c r="Q20" s="5"/>
      <c r="R20" s="5"/>
      <c r="S20" s="5"/>
      <c r="T20" s="5"/>
      <c r="U20" s="1"/>
      <c r="V20" s="3"/>
      <c r="W20" s="5"/>
      <c r="X20" s="5"/>
      <c r="Y20" s="5"/>
      <c r="Z20" s="5"/>
    </row>
    <row r="21" spans="2:26" x14ac:dyDescent="0.25">
      <c r="B21" s="245" t="s">
        <v>53</v>
      </c>
      <c r="C21" s="203" t="s">
        <v>8</v>
      </c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5"/>
    </row>
    <row r="22" spans="2:26" x14ac:dyDescent="0.25">
      <c r="B22" s="246"/>
      <c r="C22" s="107" t="s">
        <v>97</v>
      </c>
      <c r="D22" s="8" t="s">
        <v>98</v>
      </c>
      <c r="E22" s="84">
        <v>100</v>
      </c>
      <c r="F22" s="30">
        <v>200</v>
      </c>
      <c r="G22" s="22">
        <f>E22*3.5/100</f>
        <v>3.5</v>
      </c>
      <c r="H22" s="33">
        <f>F22*3.5/100</f>
        <v>7</v>
      </c>
      <c r="I22" s="22">
        <f>E22*4.13/100</f>
        <v>4.13</v>
      </c>
      <c r="J22" s="33">
        <f>F22*4.13/100</f>
        <v>8.26</v>
      </c>
      <c r="K22" s="22">
        <f>E22*14.21/100</f>
        <v>14.21</v>
      </c>
      <c r="L22" s="33">
        <f>F22*14.21/100</f>
        <v>28.42</v>
      </c>
      <c r="M22" s="22">
        <f t="shared" ref="M22:N22" si="9">G22*4+I22*9+K22*4</f>
        <v>108.01</v>
      </c>
      <c r="N22" s="35">
        <f t="shared" si="9"/>
        <v>216.02</v>
      </c>
    </row>
    <row r="23" spans="2:26" x14ac:dyDescent="0.25">
      <c r="B23" s="246"/>
      <c r="C23" s="21" t="s">
        <v>85</v>
      </c>
      <c r="D23" s="6" t="s">
        <v>86</v>
      </c>
      <c r="E23" s="59">
        <v>30</v>
      </c>
      <c r="F23" s="60">
        <v>40</v>
      </c>
      <c r="G23" s="22">
        <f>E23*7.6/100</f>
        <v>2.2799999999999998</v>
      </c>
      <c r="H23" s="33">
        <f>F23*7.6/100</f>
        <v>3.04</v>
      </c>
      <c r="I23" s="22">
        <f>E23*0.8/100</f>
        <v>0.24</v>
      </c>
      <c r="J23" s="33">
        <f>F23*0.8/100</f>
        <v>0.32</v>
      </c>
      <c r="K23" s="22">
        <f>E23*49.2/100</f>
        <v>14.76</v>
      </c>
      <c r="L23" s="33">
        <f>F23*49.2/100</f>
        <v>19.68</v>
      </c>
      <c r="M23" s="22">
        <f t="shared" ref="M23:N24" si="10">G23*4+I23*9+K23*4</f>
        <v>70.319999999999993</v>
      </c>
      <c r="N23" s="35">
        <f t="shared" si="10"/>
        <v>93.759999999999991</v>
      </c>
    </row>
    <row r="24" spans="2:26" s="16" customFormat="1" x14ac:dyDescent="0.25">
      <c r="B24" s="246"/>
      <c r="C24" s="21" t="s">
        <v>49</v>
      </c>
      <c r="D24" s="6" t="s">
        <v>11</v>
      </c>
      <c r="E24" s="84">
        <v>200</v>
      </c>
      <c r="F24" s="31">
        <v>200</v>
      </c>
      <c r="G24" s="22">
        <f>E24*0.3/200</f>
        <v>0.3</v>
      </c>
      <c r="H24" s="33">
        <f>F24*0.3/200</f>
        <v>0.3</v>
      </c>
      <c r="I24" s="22">
        <f t="shared" ref="I24:J24" si="11">E24*0.1/200</f>
        <v>0.1</v>
      </c>
      <c r="J24" s="33">
        <f t="shared" si="11"/>
        <v>0.1</v>
      </c>
      <c r="K24" s="22">
        <f>E24*9.5/200</f>
        <v>9.5</v>
      </c>
      <c r="L24" s="33">
        <f>F24*9.5/200</f>
        <v>9.5</v>
      </c>
      <c r="M24" s="22">
        <f t="shared" si="10"/>
        <v>40.1</v>
      </c>
      <c r="N24" s="35">
        <f t="shared" si="10"/>
        <v>40.1</v>
      </c>
      <c r="R24" s="16" t="s">
        <v>24</v>
      </c>
    </row>
    <row r="25" spans="2:26" x14ac:dyDescent="0.25">
      <c r="B25" s="246"/>
      <c r="C25" s="26"/>
      <c r="D25" s="4" t="s">
        <v>13</v>
      </c>
      <c r="E25" s="24">
        <f t="shared" ref="E25:L25" si="12">SUM(E22:E24)</f>
        <v>330</v>
      </c>
      <c r="F25" s="32">
        <f t="shared" si="12"/>
        <v>440</v>
      </c>
      <c r="G25" s="7">
        <f t="shared" si="12"/>
        <v>6.0799999999999992</v>
      </c>
      <c r="H25" s="34">
        <f t="shared" si="12"/>
        <v>10.34</v>
      </c>
      <c r="I25" s="7">
        <f t="shared" si="12"/>
        <v>4.47</v>
      </c>
      <c r="J25" s="34">
        <f t="shared" si="12"/>
        <v>8.68</v>
      </c>
      <c r="K25" s="7">
        <f t="shared" si="12"/>
        <v>38.47</v>
      </c>
      <c r="L25" s="34">
        <f t="shared" si="12"/>
        <v>57.6</v>
      </c>
      <c r="M25" s="7">
        <f t="shared" ref="M25:N25" si="13">G25*4+I25*9+K25*4</f>
        <v>218.43</v>
      </c>
      <c r="N25" s="36">
        <f t="shared" si="13"/>
        <v>349.88</v>
      </c>
    </row>
    <row r="26" spans="2:26" x14ac:dyDescent="0.25">
      <c r="B26" s="246"/>
      <c r="C26" s="244" t="s">
        <v>9</v>
      </c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3"/>
    </row>
    <row r="27" spans="2:26" x14ac:dyDescent="0.25">
      <c r="B27" s="246"/>
      <c r="C27" s="96" t="s">
        <v>215</v>
      </c>
      <c r="D27" s="9" t="s">
        <v>216</v>
      </c>
      <c r="E27" s="84">
        <v>60</v>
      </c>
      <c r="F27" s="37">
        <v>100</v>
      </c>
      <c r="G27" s="22">
        <f>E27*1/100</f>
        <v>0.6</v>
      </c>
      <c r="H27" s="33">
        <f>F27*1/100</f>
        <v>1</v>
      </c>
      <c r="I27" s="22">
        <f>E27*6/100</f>
        <v>3.6</v>
      </c>
      <c r="J27" s="33">
        <f>F27*6/100</f>
        <v>6</v>
      </c>
      <c r="K27" s="22">
        <f>E27*11/100</f>
        <v>6.6</v>
      </c>
      <c r="L27" s="33">
        <f>F27*11/100</f>
        <v>11</v>
      </c>
      <c r="M27" s="23">
        <f t="shared" ref="M27:N27" si="14">G27*4+I27*9+K27*4</f>
        <v>61.199999999999996</v>
      </c>
      <c r="N27" s="41">
        <f t="shared" si="14"/>
        <v>102</v>
      </c>
    </row>
    <row r="28" spans="2:26" s="16" customFormat="1" ht="17.25" customHeight="1" x14ac:dyDescent="0.25">
      <c r="B28" s="246"/>
      <c r="C28" s="107" t="s">
        <v>19</v>
      </c>
      <c r="D28" s="8" t="s">
        <v>88</v>
      </c>
      <c r="E28" s="105">
        <v>200</v>
      </c>
      <c r="F28" s="43">
        <v>250</v>
      </c>
      <c r="G28" s="23">
        <f>E28*2.9/250</f>
        <v>2.3199999999999998</v>
      </c>
      <c r="H28" s="44">
        <f>F28*2.9/250</f>
        <v>2.9</v>
      </c>
      <c r="I28" s="23">
        <f>E28*2.5/250</f>
        <v>2</v>
      </c>
      <c r="J28" s="44">
        <f>F28*2.5/250</f>
        <v>2.5</v>
      </c>
      <c r="K28" s="23">
        <f>E28*21/250</f>
        <v>16.8</v>
      </c>
      <c r="L28" s="44">
        <f>F28*21/250</f>
        <v>21</v>
      </c>
      <c r="M28" s="23">
        <f t="shared" ref="M28:N32" si="15">G28*4+I28*9+K28*4</f>
        <v>94.48</v>
      </c>
      <c r="N28" s="41">
        <f t="shared" si="15"/>
        <v>118.1</v>
      </c>
    </row>
    <row r="29" spans="2:26" s="16" customFormat="1" x14ac:dyDescent="0.25">
      <c r="B29" s="246"/>
      <c r="C29" s="107" t="s">
        <v>80</v>
      </c>
      <c r="D29" s="9" t="s">
        <v>81</v>
      </c>
      <c r="E29" s="84">
        <v>230</v>
      </c>
      <c r="F29" s="31">
        <v>250</v>
      </c>
      <c r="G29" s="22">
        <f>E29*5.7/100</f>
        <v>13.11</v>
      </c>
      <c r="H29" s="33">
        <f>F29*5.7/100</f>
        <v>14.25</v>
      </c>
      <c r="I29" s="22">
        <f>E29*9.45/100</f>
        <v>21.734999999999999</v>
      </c>
      <c r="J29" s="33">
        <f>F29*9.45/100</f>
        <v>23.625</v>
      </c>
      <c r="K29" s="22">
        <f>E29*9.4/100</f>
        <v>21.62</v>
      </c>
      <c r="L29" s="33">
        <f>F29*9.4/100</f>
        <v>23.5</v>
      </c>
      <c r="M29" s="22">
        <f t="shared" si="15"/>
        <v>334.53500000000003</v>
      </c>
      <c r="N29" s="35">
        <f t="shared" si="15"/>
        <v>363.625</v>
      </c>
    </row>
    <row r="30" spans="2:26" s="16" customFormat="1" x14ac:dyDescent="0.25">
      <c r="B30" s="246"/>
      <c r="C30" s="107" t="s">
        <v>54</v>
      </c>
      <c r="D30" s="9" t="s">
        <v>55</v>
      </c>
      <c r="E30" s="84">
        <v>200</v>
      </c>
      <c r="F30" s="31">
        <v>200</v>
      </c>
      <c r="G30" s="22">
        <f>E30*0.6/200</f>
        <v>0.6</v>
      </c>
      <c r="H30" s="33">
        <f>F30*0.6/200</f>
        <v>0.6</v>
      </c>
      <c r="I30" s="22">
        <f t="shared" ref="I30:J30" si="16">E30*0.1/200</f>
        <v>0.1</v>
      </c>
      <c r="J30" s="33">
        <f t="shared" si="16"/>
        <v>0.1</v>
      </c>
      <c r="K30" s="22">
        <f>E30*20.1/200</f>
        <v>20.100000000000001</v>
      </c>
      <c r="L30" s="33">
        <f>F30*20.1/200</f>
        <v>20.100000000000001</v>
      </c>
      <c r="M30" s="22">
        <f t="shared" si="15"/>
        <v>83.7</v>
      </c>
      <c r="N30" s="35">
        <f t="shared" si="15"/>
        <v>83.7</v>
      </c>
    </row>
    <row r="31" spans="2:26" x14ac:dyDescent="0.25">
      <c r="B31" s="246"/>
      <c r="C31" s="21" t="s">
        <v>84</v>
      </c>
      <c r="D31" s="6" t="s">
        <v>22</v>
      </c>
      <c r="E31" s="59">
        <v>20</v>
      </c>
      <c r="F31" s="60">
        <v>20</v>
      </c>
      <c r="G31" s="22">
        <f>E31*8/100</f>
        <v>1.6</v>
      </c>
      <c r="H31" s="33">
        <f>F31*8/100</f>
        <v>1.6</v>
      </c>
      <c r="I31" s="22">
        <f>E31*1.5/100</f>
        <v>0.3</v>
      </c>
      <c r="J31" s="33">
        <f>F31*1.5/100</f>
        <v>0.3</v>
      </c>
      <c r="K31" s="22">
        <f>E31*40.1/100</f>
        <v>8.02</v>
      </c>
      <c r="L31" s="33">
        <f>F31*40.1/100</f>
        <v>8.02</v>
      </c>
      <c r="M31" s="22">
        <f t="shared" si="15"/>
        <v>41.18</v>
      </c>
      <c r="N31" s="35">
        <f t="shared" si="15"/>
        <v>41.18</v>
      </c>
    </row>
    <row r="32" spans="2:26" x14ac:dyDescent="0.25">
      <c r="B32" s="246"/>
      <c r="C32" s="21" t="s">
        <v>85</v>
      </c>
      <c r="D32" s="6" t="s">
        <v>86</v>
      </c>
      <c r="E32" s="59">
        <v>50</v>
      </c>
      <c r="F32" s="60">
        <v>50</v>
      </c>
      <c r="G32" s="22">
        <f>E32*7.6/100</f>
        <v>3.8</v>
      </c>
      <c r="H32" s="33">
        <f>F32*7.6/100</f>
        <v>3.8</v>
      </c>
      <c r="I32" s="22">
        <f>E32*0.8/100</f>
        <v>0.4</v>
      </c>
      <c r="J32" s="33">
        <f>F32*0.8/100</f>
        <v>0.4</v>
      </c>
      <c r="K32" s="22">
        <f>E32*49.2/100</f>
        <v>24.6</v>
      </c>
      <c r="L32" s="33">
        <f>F32*49.2/100</f>
        <v>24.6</v>
      </c>
      <c r="M32" s="22">
        <f t="shared" si="15"/>
        <v>117.2</v>
      </c>
      <c r="N32" s="35">
        <f t="shared" si="15"/>
        <v>117.2</v>
      </c>
    </row>
    <row r="33" spans="2:14" x14ac:dyDescent="0.25">
      <c r="B33" s="246"/>
      <c r="C33" s="21"/>
      <c r="D33" s="4" t="s">
        <v>14</v>
      </c>
      <c r="E33" s="24">
        <f t="shared" ref="E33:N33" si="17">SUM(E27:E32)</f>
        <v>760</v>
      </c>
      <c r="F33" s="38">
        <f t="shared" si="17"/>
        <v>870</v>
      </c>
      <c r="G33" s="7">
        <f t="shared" si="17"/>
        <v>22.030000000000005</v>
      </c>
      <c r="H33" s="34">
        <f t="shared" si="17"/>
        <v>24.150000000000002</v>
      </c>
      <c r="I33" s="24">
        <f t="shared" si="17"/>
        <v>28.135000000000002</v>
      </c>
      <c r="J33" s="34">
        <f t="shared" si="17"/>
        <v>32.924999999999997</v>
      </c>
      <c r="K33" s="7">
        <f t="shared" si="17"/>
        <v>97.740000000000009</v>
      </c>
      <c r="L33" s="34">
        <f t="shared" si="17"/>
        <v>108.22</v>
      </c>
      <c r="M33" s="7">
        <f t="shared" si="17"/>
        <v>732.29500000000007</v>
      </c>
      <c r="N33" s="36">
        <f t="shared" si="17"/>
        <v>825.80500000000006</v>
      </c>
    </row>
    <row r="34" spans="2:14" ht="15" customHeight="1" thickBot="1" x14ac:dyDescent="0.3">
      <c r="B34" s="247"/>
      <c r="C34" s="25"/>
      <c r="D34" s="17" t="s">
        <v>12</v>
      </c>
      <c r="E34" s="18"/>
      <c r="F34" s="39"/>
      <c r="G34" s="19">
        <f t="shared" ref="G34:N34" si="18">G25+G33</f>
        <v>28.110000000000003</v>
      </c>
      <c r="H34" s="40">
        <f t="shared" si="18"/>
        <v>34.49</v>
      </c>
      <c r="I34" s="19">
        <f t="shared" si="18"/>
        <v>32.605000000000004</v>
      </c>
      <c r="J34" s="40">
        <f t="shared" si="18"/>
        <v>41.604999999999997</v>
      </c>
      <c r="K34" s="19">
        <f t="shared" si="18"/>
        <v>136.21</v>
      </c>
      <c r="L34" s="40">
        <f t="shared" si="18"/>
        <v>165.82</v>
      </c>
      <c r="M34" s="19">
        <f t="shared" si="18"/>
        <v>950.72500000000014</v>
      </c>
      <c r="N34" s="42">
        <f t="shared" si="18"/>
        <v>1175.6849999999999</v>
      </c>
    </row>
    <row r="35" spans="2:14" x14ac:dyDescent="0.25">
      <c r="B35" s="239" t="s">
        <v>52</v>
      </c>
      <c r="C35" s="203" t="s">
        <v>9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5"/>
    </row>
    <row r="36" spans="2:14" s="16" customFormat="1" x14ac:dyDescent="0.25">
      <c r="B36" s="240"/>
      <c r="C36" s="107" t="s">
        <v>166</v>
      </c>
      <c r="D36" s="9" t="s">
        <v>167</v>
      </c>
      <c r="E36" s="105">
        <v>200</v>
      </c>
      <c r="F36" s="43">
        <v>250</v>
      </c>
      <c r="G36" s="23">
        <f>E36*2/250</f>
        <v>1.6</v>
      </c>
      <c r="H36" s="44">
        <f>F36*2/250</f>
        <v>2</v>
      </c>
      <c r="I36" s="23">
        <f>E36*2.4/250</f>
        <v>1.92</v>
      </c>
      <c r="J36" s="44">
        <f>F36*2.4/250</f>
        <v>2.4</v>
      </c>
      <c r="K36" s="23">
        <f>E36*14.8/250</f>
        <v>11.84</v>
      </c>
      <c r="L36" s="44">
        <f>F36*14.8/250</f>
        <v>14.8</v>
      </c>
      <c r="M36" s="23">
        <f t="shared" ref="M36:N40" si="19">G36*4+I36*9+K36*4</f>
        <v>71.039999999999992</v>
      </c>
      <c r="N36" s="41">
        <f t="shared" si="19"/>
        <v>88.8</v>
      </c>
    </row>
    <row r="37" spans="2:14" x14ac:dyDescent="0.25">
      <c r="B37" s="240"/>
      <c r="C37" s="107" t="s">
        <v>127</v>
      </c>
      <c r="D37" s="9" t="s">
        <v>128</v>
      </c>
      <c r="E37" s="84">
        <v>110</v>
      </c>
      <c r="F37" s="31">
        <v>110</v>
      </c>
      <c r="G37" s="22">
        <f>E37*18.7/100</f>
        <v>20.57</v>
      </c>
      <c r="H37" s="33">
        <f>F37*18.7/100</f>
        <v>20.57</v>
      </c>
      <c r="I37" s="22">
        <f>E37*15.3/100</f>
        <v>16.829999999999998</v>
      </c>
      <c r="J37" s="33">
        <f>F37*15.3/100</f>
        <v>16.829999999999998</v>
      </c>
      <c r="K37" s="22">
        <f>E37*0.6/100</f>
        <v>0.66</v>
      </c>
      <c r="L37" s="33">
        <f>F37*0.6/100</f>
        <v>0.66</v>
      </c>
      <c r="M37" s="22">
        <f t="shared" si="19"/>
        <v>236.38999999999996</v>
      </c>
      <c r="N37" s="35">
        <f t="shared" si="19"/>
        <v>236.38999999999996</v>
      </c>
    </row>
    <row r="38" spans="2:14" s="16" customFormat="1" x14ac:dyDescent="0.25">
      <c r="B38" s="240"/>
      <c r="C38" s="21" t="s">
        <v>36</v>
      </c>
      <c r="D38" s="6" t="s">
        <v>70</v>
      </c>
      <c r="E38" s="84">
        <v>150</v>
      </c>
      <c r="F38" s="31">
        <v>180</v>
      </c>
      <c r="G38" s="22">
        <f>E38*2.18/100</f>
        <v>3.27</v>
      </c>
      <c r="H38" s="33">
        <f>F38*2.18/100</f>
        <v>3.9240000000000004</v>
      </c>
      <c r="I38" s="22">
        <f>E38*2.18/100</f>
        <v>3.27</v>
      </c>
      <c r="J38" s="33">
        <f>F38*2.18/100</f>
        <v>3.9240000000000004</v>
      </c>
      <c r="K38" s="22">
        <f>E38*12.13/100</f>
        <v>18.195000000000004</v>
      </c>
      <c r="L38" s="33">
        <f>F38*12.13/100</f>
        <v>21.834</v>
      </c>
      <c r="M38" s="22">
        <f t="shared" si="19"/>
        <v>115.29000000000002</v>
      </c>
      <c r="N38" s="35">
        <f t="shared" si="19"/>
        <v>138.34800000000001</v>
      </c>
    </row>
    <row r="39" spans="2:14" s="16" customFormat="1" x14ac:dyDescent="0.25">
      <c r="B39" s="240"/>
      <c r="C39" s="128" t="s">
        <v>76</v>
      </c>
      <c r="D39" s="9" t="s">
        <v>77</v>
      </c>
      <c r="E39" s="84">
        <v>40</v>
      </c>
      <c r="F39" s="31">
        <v>50</v>
      </c>
      <c r="G39" s="22">
        <f>E39*1.3/50</f>
        <v>1.04</v>
      </c>
      <c r="H39" s="33">
        <f>F39*1.3/50</f>
        <v>1.3</v>
      </c>
      <c r="I39" s="22">
        <f>E39*4.8/50</f>
        <v>3.84</v>
      </c>
      <c r="J39" s="33">
        <f>F39*4.8/50</f>
        <v>4.8</v>
      </c>
      <c r="K39" s="22">
        <f>E39*4.7/50</f>
        <v>3.76</v>
      </c>
      <c r="L39" s="33">
        <f>F39*4.7/50</f>
        <v>4.7</v>
      </c>
      <c r="M39" s="22">
        <f t="shared" si="19"/>
        <v>53.76</v>
      </c>
      <c r="N39" s="35">
        <f t="shared" si="19"/>
        <v>67.2</v>
      </c>
    </row>
    <row r="40" spans="2:14" x14ac:dyDescent="0.25">
      <c r="B40" s="240"/>
      <c r="C40" s="107" t="s">
        <v>54</v>
      </c>
      <c r="D40" s="9" t="s">
        <v>55</v>
      </c>
      <c r="E40" s="84">
        <v>200</v>
      </c>
      <c r="F40" s="31">
        <v>200</v>
      </c>
      <c r="G40" s="22">
        <f>E40*0.6/200</f>
        <v>0.6</v>
      </c>
      <c r="H40" s="33">
        <f>F40*0.6/200</f>
        <v>0.6</v>
      </c>
      <c r="I40" s="22">
        <f t="shared" ref="I40:J40" si="20">E40*0.1/200</f>
        <v>0.1</v>
      </c>
      <c r="J40" s="33">
        <f t="shared" si="20"/>
        <v>0.1</v>
      </c>
      <c r="K40" s="22">
        <f>E40*20.1/200</f>
        <v>20.100000000000001</v>
      </c>
      <c r="L40" s="33">
        <f>F40*20.1/200</f>
        <v>20.100000000000001</v>
      </c>
      <c r="M40" s="22">
        <f t="shared" si="19"/>
        <v>83.7</v>
      </c>
      <c r="N40" s="35">
        <f t="shared" si="19"/>
        <v>83.7</v>
      </c>
    </row>
    <row r="41" spans="2:14" x14ac:dyDescent="0.25">
      <c r="B41" s="240"/>
      <c r="C41" s="21" t="s">
        <v>84</v>
      </c>
      <c r="D41" s="6" t="s">
        <v>22</v>
      </c>
      <c r="E41" s="59">
        <v>20</v>
      </c>
      <c r="F41" s="60">
        <v>20</v>
      </c>
      <c r="G41" s="22">
        <f>E41*8/100</f>
        <v>1.6</v>
      </c>
      <c r="H41" s="33">
        <f>F41*8/100</f>
        <v>1.6</v>
      </c>
      <c r="I41" s="22">
        <f>E41*1.5/100</f>
        <v>0.3</v>
      </c>
      <c r="J41" s="33">
        <f>F41*1.5/100</f>
        <v>0.3</v>
      </c>
      <c r="K41" s="22">
        <f>E41*40.1/100</f>
        <v>8.02</v>
      </c>
      <c r="L41" s="33">
        <f>F41*40.1/100</f>
        <v>8.02</v>
      </c>
      <c r="M41" s="22">
        <f t="shared" ref="M41:N42" si="21">G41*4+I41*9+K41*4</f>
        <v>41.18</v>
      </c>
      <c r="N41" s="35">
        <f t="shared" si="21"/>
        <v>41.18</v>
      </c>
    </row>
    <row r="42" spans="2:14" x14ac:dyDescent="0.25">
      <c r="B42" s="240"/>
      <c r="C42" s="21" t="s">
        <v>85</v>
      </c>
      <c r="D42" s="6" t="s">
        <v>86</v>
      </c>
      <c r="E42" s="59">
        <v>50</v>
      </c>
      <c r="F42" s="60">
        <v>50</v>
      </c>
      <c r="G42" s="22">
        <f>E42*7.6/100</f>
        <v>3.8</v>
      </c>
      <c r="H42" s="33">
        <f>F42*7.6/100</f>
        <v>3.8</v>
      </c>
      <c r="I42" s="22">
        <f>E42*0.8/100</f>
        <v>0.4</v>
      </c>
      <c r="J42" s="33">
        <f>F42*0.8/100</f>
        <v>0.4</v>
      </c>
      <c r="K42" s="22">
        <f>E42*49.2/100</f>
        <v>24.6</v>
      </c>
      <c r="L42" s="33">
        <f>F42*49.2/100</f>
        <v>24.6</v>
      </c>
      <c r="M42" s="22">
        <f t="shared" si="21"/>
        <v>117.2</v>
      </c>
      <c r="N42" s="35">
        <f t="shared" si="21"/>
        <v>117.2</v>
      </c>
    </row>
    <row r="43" spans="2:14" ht="15.75" thickBot="1" x14ac:dyDescent="0.3">
      <c r="B43" s="241"/>
      <c r="C43" s="25"/>
      <c r="D43" s="17" t="s">
        <v>14</v>
      </c>
      <c r="E43" s="108">
        <f t="shared" ref="E43:N43" si="22">SUM(E36:E42)</f>
        <v>770</v>
      </c>
      <c r="F43" s="109">
        <f t="shared" si="22"/>
        <v>860</v>
      </c>
      <c r="G43" s="19">
        <f t="shared" si="22"/>
        <v>32.480000000000004</v>
      </c>
      <c r="H43" s="40">
        <f t="shared" si="22"/>
        <v>33.794000000000004</v>
      </c>
      <c r="I43" s="108">
        <f t="shared" si="22"/>
        <v>26.66</v>
      </c>
      <c r="J43" s="40">
        <f t="shared" si="22"/>
        <v>28.753999999999998</v>
      </c>
      <c r="K43" s="19">
        <f t="shared" si="22"/>
        <v>87.175000000000011</v>
      </c>
      <c r="L43" s="40">
        <f t="shared" si="22"/>
        <v>94.713999999999999</v>
      </c>
      <c r="M43" s="19">
        <f t="shared" si="22"/>
        <v>718.56</v>
      </c>
      <c r="N43" s="42">
        <f t="shared" si="22"/>
        <v>772.81799999999998</v>
      </c>
    </row>
    <row r="44" spans="2:14" x14ac:dyDescent="0.25">
      <c r="J44" s="1"/>
    </row>
    <row r="45" spans="2:14" x14ac:dyDescent="0.25">
      <c r="D45" s="14" t="s">
        <v>24</v>
      </c>
    </row>
  </sheetData>
  <mergeCells count="18">
    <mergeCell ref="B2:E2"/>
    <mergeCell ref="B3:B5"/>
    <mergeCell ref="C3:C5"/>
    <mergeCell ref="D3:D5"/>
    <mergeCell ref="E3:F4"/>
    <mergeCell ref="M3:N4"/>
    <mergeCell ref="G4:H4"/>
    <mergeCell ref="I4:J4"/>
    <mergeCell ref="K4:L4"/>
    <mergeCell ref="G3:L3"/>
    <mergeCell ref="B35:B43"/>
    <mergeCell ref="C35:N35"/>
    <mergeCell ref="C6:N6"/>
    <mergeCell ref="C11:N11"/>
    <mergeCell ref="C21:N21"/>
    <mergeCell ref="C26:N26"/>
    <mergeCell ref="B6:B20"/>
    <mergeCell ref="B21:B34"/>
  </mergeCells>
  <pageMargins left="0.23622047244094491" right="0.23622047244094491" top="0.19685039370078741" bottom="0.19685039370078741" header="0.31496062992125984" footer="0.31496062992125984"/>
  <pageSetup paperSize="9" scale="75" fitToWidth="0" fitToHeight="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B1:Z71"/>
  <sheetViews>
    <sheetView topLeftCell="A19" zoomScale="90" zoomScaleNormal="90" zoomScalePageLayoutView="90" workbookViewId="0">
      <selection activeCell="Q39" sqref="Q39"/>
    </sheetView>
  </sheetViews>
  <sheetFormatPr defaultRowHeight="15" x14ac:dyDescent="0.25"/>
  <cols>
    <col min="1" max="1" width="5.7109375" style="14" customWidth="1"/>
    <col min="2" max="2" width="2.7109375" style="14" customWidth="1"/>
    <col min="3" max="3" width="10.5703125" style="14" customWidth="1"/>
    <col min="4" max="4" width="37" style="14" customWidth="1"/>
    <col min="5" max="6" width="7.28515625" style="14" customWidth="1"/>
    <col min="7" max="7" width="6.7109375" style="14" customWidth="1"/>
    <col min="8" max="8" width="6.85546875" style="14" customWidth="1"/>
    <col min="9" max="9" width="6.42578125" style="14" customWidth="1"/>
    <col min="10" max="10" width="6.5703125" style="14" customWidth="1"/>
    <col min="11" max="11" width="7.5703125" style="14" customWidth="1"/>
    <col min="12" max="12" width="7.42578125" style="14" customWidth="1"/>
    <col min="13" max="13" width="8.5703125" style="14" customWidth="1"/>
    <col min="14" max="14" width="7.5703125" style="14" customWidth="1"/>
    <col min="15" max="15" width="9" style="14" customWidth="1"/>
    <col min="16" max="16" width="7.28515625" style="14" customWidth="1"/>
    <col min="17" max="20" width="9.140625" style="14"/>
    <col min="21" max="21" width="19.7109375" style="14" customWidth="1"/>
    <col min="22" max="22" width="7.7109375" style="14" customWidth="1"/>
    <col min="23" max="23" width="9.140625" style="14"/>
    <col min="24" max="24" width="7.7109375" style="14" customWidth="1"/>
    <col min="25" max="16384" width="9.140625" style="14"/>
  </cols>
  <sheetData>
    <row r="1" spans="2:26" ht="22.5" customHeight="1" x14ac:dyDescent="0.25"/>
    <row r="2" spans="2:26" ht="15" customHeight="1" thickBot="1" x14ac:dyDescent="0.3">
      <c r="B2" s="227" t="s">
        <v>56</v>
      </c>
      <c r="C2" s="227"/>
      <c r="D2" s="227"/>
      <c r="E2" s="227"/>
      <c r="O2" s="2"/>
      <c r="P2" s="2"/>
      <c r="Q2" s="1"/>
      <c r="R2" s="1"/>
      <c r="S2" s="1"/>
      <c r="T2" s="1"/>
      <c r="U2" s="2"/>
      <c r="V2" s="2"/>
      <c r="W2" s="1"/>
      <c r="X2" s="1"/>
      <c r="Y2" s="1"/>
      <c r="Z2" s="1"/>
    </row>
    <row r="3" spans="2:26" ht="15" customHeight="1" x14ac:dyDescent="0.25">
      <c r="B3" s="228" t="s">
        <v>45</v>
      </c>
      <c r="C3" s="206" t="s">
        <v>0</v>
      </c>
      <c r="D3" s="209" t="s">
        <v>1</v>
      </c>
      <c r="E3" s="212" t="s">
        <v>6</v>
      </c>
      <c r="F3" s="213"/>
      <c r="G3" s="216" t="s">
        <v>7</v>
      </c>
      <c r="H3" s="216"/>
      <c r="I3" s="216"/>
      <c r="J3" s="216"/>
      <c r="K3" s="216"/>
      <c r="L3" s="216"/>
      <c r="M3" s="217" t="s">
        <v>5</v>
      </c>
      <c r="N3" s="218"/>
      <c r="O3" s="1"/>
      <c r="P3" s="3"/>
      <c r="Q3" s="5"/>
      <c r="R3" s="5"/>
      <c r="S3" s="5"/>
      <c r="T3" s="5"/>
      <c r="U3" s="1"/>
      <c r="V3" s="3"/>
      <c r="W3" s="5"/>
      <c r="X3" s="5"/>
      <c r="Y3" s="5"/>
      <c r="Z3" s="5"/>
    </row>
    <row r="4" spans="2:26" x14ac:dyDescent="0.25">
      <c r="B4" s="229"/>
      <c r="C4" s="207"/>
      <c r="D4" s="210"/>
      <c r="E4" s="214"/>
      <c r="F4" s="215"/>
      <c r="G4" s="221" t="s">
        <v>3</v>
      </c>
      <c r="H4" s="221"/>
      <c r="I4" s="219" t="s">
        <v>2</v>
      </c>
      <c r="J4" s="219"/>
      <c r="K4" s="221" t="s">
        <v>4</v>
      </c>
      <c r="L4" s="221"/>
      <c r="M4" s="219"/>
      <c r="N4" s="220"/>
      <c r="O4" s="1"/>
      <c r="P4" s="3"/>
      <c r="Q4" s="5"/>
      <c r="R4" s="5"/>
      <c r="S4" s="5"/>
      <c r="T4" s="5"/>
      <c r="U4" s="1"/>
      <c r="V4" s="3"/>
      <c r="W4" s="5"/>
      <c r="X4" s="5"/>
      <c r="Y4" s="5"/>
      <c r="Z4" s="5"/>
    </row>
    <row r="5" spans="2:26" ht="27.75" customHeight="1" thickBot="1" x14ac:dyDescent="0.3">
      <c r="B5" s="230"/>
      <c r="C5" s="208"/>
      <c r="D5" s="211"/>
      <c r="E5" s="27" t="s">
        <v>15</v>
      </c>
      <c r="F5" s="28" t="s">
        <v>48</v>
      </c>
      <c r="G5" s="27" t="s">
        <v>15</v>
      </c>
      <c r="H5" s="28" t="s">
        <v>48</v>
      </c>
      <c r="I5" s="27" t="s">
        <v>15</v>
      </c>
      <c r="J5" s="28" t="s">
        <v>48</v>
      </c>
      <c r="K5" s="27" t="s">
        <v>15</v>
      </c>
      <c r="L5" s="28" t="s">
        <v>48</v>
      </c>
      <c r="M5" s="27" t="s">
        <v>15</v>
      </c>
      <c r="N5" s="29" t="s">
        <v>48</v>
      </c>
      <c r="O5" s="1"/>
      <c r="P5" s="3"/>
      <c r="Q5" s="5"/>
      <c r="R5" s="5"/>
      <c r="S5" s="5"/>
      <c r="T5" s="5"/>
      <c r="U5" s="1"/>
      <c r="V5" s="3"/>
      <c r="W5" s="5"/>
      <c r="X5" s="5"/>
      <c r="Y5" s="5"/>
      <c r="Z5" s="5"/>
    </row>
    <row r="6" spans="2:26" x14ac:dyDescent="0.25">
      <c r="B6" s="231" t="s">
        <v>43</v>
      </c>
      <c r="C6" s="203" t="s">
        <v>8</v>
      </c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5"/>
      <c r="O6" s="1"/>
      <c r="P6" s="3"/>
      <c r="Q6" s="5"/>
      <c r="R6" s="5"/>
      <c r="S6" s="5"/>
      <c r="T6" s="5"/>
      <c r="U6" s="1"/>
      <c r="V6" s="3"/>
      <c r="W6" s="5"/>
      <c r="X6" s="5"/>
      <c r="Y6" s="5"/>
      <c r="Z6" s="5"/>
    </row>
    <row r="7" spans="2:26" x14ac:dyDescent="0.25">
      <c r="B7" s="232"/>
      <c r="C7" s="107" t="s">
        <v>75</v>
      </c>
      <c r="D7" s="8" t="s">
        <v>73</v>
      </c>
      <c r="E7" s="84">
        <v>150</v>
      </c>
      <c r="F7" s="30">
        <v>200</v>
      </c>
      <c r="G7" s="22">
        <f>E7*3.63/100</f>
        <v>5.4450000000000003</v>
      </c>
      <c r="H7" s="33">
        <f>F7*3.63/100</f>
        <v>7.26</v>
      </c>
      <c r="I7" s="22">
        <f>E7*3.62/100</f>
        <v>5.43</v>
      </c>
      <c r="J7" s="33">
        <f>F7*3.62/100</f>
        <v>7.24</v>
      </c>
      <c r="K7" s="22">
        <f>E7*17.42/100</f>
        <v>26.130000000000006</v>
      </c>
      <c r="L7" s="33">
        <f>F7*17.42/100</f>
        <v>34.840000000000003</v>
      </c>
      <c r="M7" s="22">
        <f t="shared" ref="M7:N7" si="0">G7*4+I7*9+K7*4</f>
        <v>175.17000000000002</v>
      </c>
      <c r="N7" s="35">
        <f t="shared" si="0"/>
        <v>233.56</v>
      </c>
      <c r="O7" s="1"/>
      <c r="P7" s="3"/>
      <c r="Q7" s="5"/>
      <c r="R7" s="5"/>
      <c r="S7" s="5"/>
      <c r="T7" s="5"/>
      <c r="U7" s="1"/>
      <c r="V7" s="3"/>
      <c r="W7" s="5"/>
      <c r="X7" s="5"/>
      <c r="Y7" s="5"/>
      <c r="Z7" s="5"/>
    </row>
    <row r="8" spans="2:26" x14ac:dyDescent="0.25">
      <c r="B8" s="232"/>
      <c r="C8" s="21" t="s">
        <v>85</v>
      </c>
      <c r="D8" s="6" t="s">
        <v>86</v>
      </c>
      <c r="E8" s="59">
        <v>30</v>
      </c>
      <c r="F8" s="60">
        <v>40</v>
      </c>
      <c r="G8" s="22">
        <f>E8*7.6/100</f>
        <v>2.2799999999999998</v>
      </c>
      <c r="H8" s="33">
        <f>F8*7.6/100</f>
        <v>3.04</v>
      </c>
      <c r="I8" s="22">
        <f>E8*0.8/100</f>
        <v>0.24</v>
      </c>
      <c r="J8" s="33">
        <f>F8*0.8/100</f>
        <v>0.32</v>
      </c>
      <c r="K8" s="22">
        <f>E8*49.2/100</f>
        <v>14.76</v>
      </c>
      <c r="L8" s="33">
        <f>F8*49.2/100</f>
        <v>19.68</v>
      </c>
      <c r="M8" s="22">
        <f t="shared" ref="M8:N9" si="1">G8*4+I8*9+K8*4</f>
        <v>70.319999999999993</v>
      </c>
      <c r="N8" s="35">
        <f t="shared" si="1"/>
        <v>93.759999999999991</v>
      </c>
      <c r="O8" s="1"/>
      <c r="P8" s="3"/>
      <c r="Q8" s="5"/>
      <c r="R8" s="5"/>
      <c r="S8" s="5"/>
      <c r="T8" s="5"/>
      <c r="U8" s="1"/>
      <c r="V8" s="3"/>
      <c r="W8" s="5"/>
      <c r="X8" s="5"/>
      <c r="Y8" s="5"/>
      <c r="Z8" s="5"/>
    </row>
    <row r="9" spans="2:26" x14ac:dyDescent="0.25">
      <c r="B9" s="232"/>
      <c r="C9" s="20" t="s">
        <v>50</v>
      </c>
      <c r="D9" s="9" t="s">
        <v>16</v>
      </c>
      <c r="E9" s="76">
        <v>200</v>
      </c>
      <c r="F9" s="31">
        <v>200</v>
      </c>
      <c r="G9" s="22">
        <f>E9*0.2/200</f>
        <v>0.2</v>
      </c>
      <c r="H9" s="33">
        <f>F9*0.2/200</f>
        <v>0.2</v>
      </c>
      <c r="I9" s="22">
        <f t="shared" ref="I9" si="2">E9*0.1/200</f>
        <v>0.1</v>
      </c>
      <c r="J9" s="33">
        <f t="shared" ref="J9" si="3">F9*0.1/200</f>
        <v>0.1</v>
      </c>
      <c r="K9" s="22">
        <f>E9*9.3/200</f>
        <v>9.3000000000000007</v>
      </c>
      <c r="L9" s="33">
        <f>F9*9.3/200</f>
        <v>9.3000000000000007</v>
      </c>
      <c r="M9" s="22">
        <f t="shared" si="1"/>
        <v>38.900000000000006</v>
      </c>
      <c r="N9" s="35">
        <f t="shared" si="1"/>
        <v>38.900000000000006</v>
      </c>
      <c r="O9" s="1"/>
      <c r="P9" s="3"/>
      <c r="Q9" s="5"/>
      <c r="R9" s="5"/>
      <c r="S9" s="5"/>
      <c r="T9" s="5"/>
      <c r="U9" s="1"/>
      <c r="V9" s="3"/>
      <c r="W9" s="5"/>
      <c r="X9" s="5"/>
      <c r="Y9" s="5"/>
      <c r="Z9" s="5"/>
    </row>
    <row r="10" spans="2:26" x14ac:dyDescent="0.25">
      <c r="B10" s="232"/>
      <c r="C10" s="26"/>
      <c r="D10" s="4" t="s">
        <v>13</v>
      </c>
      <c r="E10" s="24">
        <f t="shared" ref="E10:L10" si="4">SUM(E7:E9)</f>
        <v>380</v>
      </c>
      <c r="F10" s="32">
        <f t="shared" si="4"/>
        <v>440</v>
      </c>
      <c r="G10" s="7">
        <f t="shared" si="4"/>
        <v>7.9249999999999998</v>
      </c>
      <c r="H10" s="34">
        <f t="shared" si="4"/>
        <v>10.5</v>
      </c>
      <c r="I10" s="7">
        <f t="shared" si="4"/>
        <v>5.77</v>
      </c>
      <c r="J10" s="34">
        <f t="shared" si="4"/>
        <v>7.66</v>
      </c>
      <c r="K10" s="7">
        <f t="shared" si="4"/>
        <v>50.190000000000012</v>
      </c>
      <c r="L10" s="34">
        <f t="shared" si="4"/>
        <v>63.820000000000007</v>
      </c>
      <c r="M10" s="7">
        <f t="shared" ref="M10:N10" si="5">G10*4+I10*9+K10*4</f>
        <v>284.39000000000004</v>
      </c>
      <c r="N10" s="36">
        <f t="shared" si="5"/>
        <v>366.22</v>
      </c>
      <c r="O10" s="1"/>
      <c r="P10" s="3"/>
      <c r="Q10" s="5"/>
      <c r="R10" s="5"/>
      <c r="S10" s="5"/>
      <c r="T10" s="5"/>
      <c r="U10" s="1"/>
      <c r="V10" s="3"/>
      <c r="W10" s="5"/>
      <c r="X10" s="5"/>
      <c r="Y10" s="5"/>
      <c r="Z10" s="5"/>
    </row>
    <row r="11" spans="2:26" x14ac:dyDescent="0.25">
      <c r="B11" s="232"/>
      <c r="C11" s="244" t="s">
        <v>9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3"/>
      <c r="O11" s="1"/>
      <c r="P11" s="3"/>
      <c r="Q11" s="5"/>
      <c r="R11" s="5"/>
      <c r="S11" s="5"/>
      <c r="T11" s="5"/>
      <c r="U11" s="1"/>
      <c r="V11" s="3"/>
      <c r="W11" s="5"/>
      <c r="X11" s="5"/>
      <c r="Y11" s="5"/>
      <c r="Z11" s="5"/>
    </row>
    <row r="12" spans="2:26" s="16" customFormat="1" x14ac:dyDescent="0.25">
      <c r="B12" s="232"/>
      <c r="C12" s="82" t="s">
        <v>123</v>
      </c>
      <c r="D12" s="83" t="s">
        <v>124</v>
      </c>
      <c r="E12" s="84">
        <v>200</v>
      </c>
      <c r="F12" s="37">
        <v>250</v>
      </c>
      <c r="G12" s="22">
        <f>E12*2.48/100</f>
        <v>4.96</v>
      </c>
      <c r="H12" s="33">
        <f>F12*2.48/100</f>
        <v>6.2</v>
      </c>
      <c r="I12" s="22">
        <f>E12*2.24/100</f>
        <v>4.4800000000000004</v>
      </c>
      <c r="J12" s="33">
        <f>F12*2.24/100</f>
        <v>5.6</v>
      </c>
      <c r="K12" s="22">
        <f>E12*8.92/100</f>
        <v>17.84</v>
      </c>
      <c r="L12" s="33">
        <f>F12*8.92/100</f>
        <v>22.3</v>
      </c>
      <c r="M12" s="22">
        <f t="shared" ref="M12:N15" si="6">G12*4+I12*9+K12*4</f>
        <v>131.52000000000001</v>
      </c>
      <c r="N12" s="35">
        <f>H12*4+J12*9+L12*4</f>
        <v>164.4</v>
      </c>
      <c r="O12" s="1"/>
      <c r="P12" s="3"/>
      <c r="Q12" s="5"/>
      <c r="R12" s="5"/>
      <c r="S12" s="5"/>
      <c r="T12" s="5"/>
      <c r="U12" s="1"/>
      <c r="V12" s="3"/>
      <c r="W12" s="5"/>
      <c r="X12" s="5"/>
      <c r="Y12" s="5"/>
      <c r="Z12" s="5"/>
    </row>
    <row r="13" spans="2:26" s="16" customFormat="1" x14ac:dyDescent="0.25">
      <c r="B13" s="232"/>
      <c r="C13" s="97" t="s">
        <v>125</v>
      </c>
      <c r="D13" s="9" t="s">
        <v>126</v>
      </c>
      <c r="E13" s="84">
        <v>90</v>
      </c>
      <c r="F13" s="31">
        <v>100</v>
      </c>
      <c r="G13" s="22">
        <f>E13*11.55/100</f>
        <v>10.395</v>
      </c>
      <c r="H13" s="33">
        <f>F13*11.55/100</f>
        <v>11.55</v>
      </c>
      <c r="I13" s="22">
        <f>E13*17.8/100</f>
        <v>16.02</v>
      </c>
      <c r="J13" s="33">
        <f>F13*17.8/100</f>
        <v>17.8</v>
      </c>
      <c r="K13" s="22">
        <f>E13*7/100</f>
        <v>6.3</v>
      </c>
      <c r="L13" s="33">
        <f>F13*7/100</f>
        <v>7</v>
      </c>
      <c r="M13" s="22">
        <f t="shared" si="6"/>
        <v>210.95999999999998</v>
      </c>
      <c r="N13" s="35">
        <f t="shared" si="6"/>
        <v>234.40000000000003</v>
      </c>
      <c r="O13" s="1"/>
      <c r="P13" s="3"/>
      <c r="Q13" s="5"/>
      <c r="R13" s="5"/>
      <c r="S13" s="5"/>
      <c r="T13" s="5"/>
      <c r="U13" s="1"/>
      <c r="V13" s="3"/>
      <c r="W13" s="5"/>
      <c r="X13" s="5"/>
      <c r="Y13" s="5"/>
      <c r="Z13" s="5"/>
    </row>
    <row r="14" spans="2:26" s="16" customFormat="1" x14ac:dyDescent="0.25">
      <c r="B14" s="232"/>
      <c r="C14" s="21" t="s">
        <v>35</v>
      </c>
      <c r="D14" s="6" t="s">
        <v>10</v>
      </c>
      <c r="E14" s="84">
        <v>150</v>
      </c>
      <c r="F14" s="31">
        <v>180</v>
      </c>
      <c r="G14" s="22">
        <f>E14*3.63/100</f>
        <v>5.4450000000000003</v>
      </c>
      <c r="H14" s="33">
        <f>F14*3.63/100</f>
        <v>6.5339999999999998</v>
      </c>
      <c r="I14" s="22">
        <f>E14*4.5/100</f>
        <v>6.75</v>
      </c>
      <c r="J14" s="33">
        <f>F14*4.5/100</f>
        <v>8.1</v>
      </c>
      <c r="K14" s="22">
        <f>E14*22.5/100</f>
        <v>33.75</v>
      </c>
      <c r="L14" s="33">
        <f>F14*22.5/100</f>
        <v>40.5</v>
      </c>
      <c r="M14" s="22">
        <f t="shared" si="6"/>
        <v>217.53</v>
      </c>
      <c r="N14" s="35">
        <f t="shared" si="6"/>
        <v>261.036</v>
      </c>
      <c r="O14" s="1"/>
      <c r="P14" s="3"/>
      <c r="Q14" s="5"/>
      <c r="R14" s="5"/>
      <c r="S14" s="5"/>
      <c r="T14" s="5"/>
      <c r="U14" s="1"/>
      <c r="V14" s="3"/>
      <c r="W14" s="5"/>
      <c r="X14" s="5"/>
      <c r="Y14" s="5"/>
      <c r="Z14" s="5"/>
    </row>
    <row r="15" spans="2:26" x14ac:dyDescent="0.25">
      <c r="B15" s="232"/>
      <c r="C15" s="20" t="s">
        <v>162</v>
      </c>
      <c r="D15" s="9" t="s">
        <v>163</v>
      </c>
      <c r="E15" s="84">
        <v>200</v>
      </c>
      <c r="F15" s="31">
        <v>200</v>
      </c>
      <c r="G15" s="22">
        <f>E15*0.05/100</f>
        <v>0.1</v>
      </c>
      <c r="H15" s="33">
        <f>F15*0.05/100</f>
        <v>0.1</v>
      </c>
      <c r="I15" s="22">
        <f>E15*0.05/100</f>
        <v>0.1</v>
      </c>
      <c r="J15" s="33">
        <f>F15*0.05/100</f>
        <v>0.1</v>
      </c>
      <c r="K15" s="22">
        <f>E15*5.55/100</f>
        <v>11.1</v>
      </c>
      <c r="L15" s="33">
        <f>F15*5.55/100</f>
        <v>11.1</v>
      </c>
      <c r="M15" s="22">
        <f t="shared" si="6"/>
        <v>45.699999999999996</v>
      </c>
      <c r="N15" s="35">
        <f t="shared" si="6"/>
        <v>45.699999999999996</v>
      </c>
      <c r="O15" s="1"/>
      <c r="P15" s="3"/>
      <c r="Q15" s="5"/>
      <c r="R15" s="5"/>
      <c r="S15" s="5"/>
      <c r="T15" s="5"/>
      <c r="U15" s="1"/>
      <c r="V15" s="3"/>
      <c r="W15" s="5"/>
      <c r="X15" s="5"/>
      <c r="Y15" s="5"/>
      <c r="Z15" s="5"/>
    </row>
    <row r="16" spans="2:26" x14ac:dyDescent="0.25">
      <c r="B16" s="232"/>
      <c r="C16" s="21" t="s">
        <v>84</v>
      </c>
      <c r="D16" s="6" t="s">
        <v>22</v>
      </c>
      <c r="E16" s="59">
        <v>20</v>
      </c>
      <c r="F16" s="60">
        <v>20</v>
      </c>
      <c r="G16" s="22">
        <f>E16*8/100</f>
        <v>1.6</v>
      </c>
      <c r="H16" s="33">
        <f>F16*8/100</f>
        <v>1.6</v>
      </c>
      <c r="I16" s="22">
        <f>E16*1.5/100</f>
        <v>0.3</v>
      </c>
      <c r="J16" s="33">
        <f>F16*1.5/100</f>
        <v>0.3</v>
      </c>
      <c r="K16" s="22">
        <f>E16*40.1/100</f>
        <v>8.02</v>
      </c>
      <c r="L16" s="33">
        <f>F16*40.1/100</f>
        <v>8.02</v>
      </c>
      <c r="M16" s="22">
        <f t="shared" ref="M16:N17" si="7">G16*4+I16*9+K16*4</f>
        <v>41.18</v>
      </c>
      <c r="N16" s="35">
        <f t="shared" si="7"/>
        <v>41.18</v>
      </c>
      <c r="O16" s="1"/>
      <c r="P16" s="3"/>
      <c r="Q16" s="5"/>
      <c r="R16" s="5"/>
      <c r="S16" s="5"/>
      <c r="T16" s="5"/>
      <c r="U16" s="1"/>
      <c r="V16" s="3"/>
      <c r="W16" s="5"/>
      <c r="X16" s="5"/>
      <c r="Y16" s="5"/>
      <c r="Z16" s="5"/>
    </row>
    <row r="17" spans="2:26" x14ac:dyDescent="0.25">
      <c r="B17" s="232"/>
      <c r="C17" s="21" t="s">
        <v>85</v>
      </c>
      <c r="D17" s="6" t="s">
        <v>86</v>
      </c>
      <c r="E17" s="59">
        <v>40</v>
      </c>
      <c r="F17" s="60">
        <v>40</v>
      </c>
      <c r="G17" s="22">
        <f>E17*7.6/100</f>
        <v>3.04</v>
      </c>
      <c r="H17" s="33">
        <f>F17*7.6/100</f>
        <v>3.04</v>
      </c>
      <c r="I17" s="22">
        <f>E17*0.8/100</f>
        <v>0.32</v>
      </c>
      <c r="J17" s="33">
        <f>F17*0.8/100</f>
        <v>0.32</v>
      </c>
      <c r="K17" s="22">
        <f>E17*49.2/100</f>
        <v>19.68</v>
      </c>
      <c r="L17" s="33">
        <f>F17*49.2/100</f>
        <v>19.68</v>
      </c>
      <c r="M17" s="22">
        <f t="shared" si="7"/>
        <v>93.759999999999991</v>
      </c>
      <c r="N17" s="35">
        <f t="shared" si="7"/>
        <v>93.759999999999991</v>
      </c>
      <c r="O17" s="1"/>
      <c r="P17" s="3"/>
      <c r="Q17" s="5"/>
      <c r="R17" s="5"/>
      <c r="S17" s="5"/>
      <c r="T17" s="5"/>
      <c r="U17" s="1"/>
      <c r="V17" s="3"/>
      <c r="W17" s="5"/>
      <c r="X17" s="5"/>
      <c r="Y17" s="5"/>
      <c r="Z17" s="5"/>
    </row>
    <row r="18" spans="2:26" x14ac:dyDescent="0.25">
      <c r="B18" s="232"/>
      <c r="C18" s="21"/>
      <c r="D18" s="4" t="s">
        <v>14</v>
      </c>
      <c r="E18" s="24">
        <f t="shared" ref="E18:N18" si="8">SUM(E12:E17)</f>
        <v>700</v>
      </c>
      <c r="F18" s="38">
        <f t="shared" si="8"/>
        <v>790</v>
      </c>
      <c r="G18" s="7">
        <f t="shared" si="8"/>
        <v>25.540000000000003</v>
      </c>
      <c r="H18" s="34">
        <f t="shared" si="8"/>
        <v>29.024000000000001</v>
      </c>
      <c r="I18" s="24">
        <f t="shared" si="8"/>
        <v>27.970000000000002</v>
      </c>
      <c r="J18" s="34">
        <f t="shared" si="8"/>
        <v>32.22</v>
      </c>
      <c r="K18" s="24">
        <f t="shared" si="8"/>
        <v>96.69</v>
      </c>
      <c r="L18" s="34">
        <f t="shared" si="8"/>
        <v>108.6</v>
      </c>
      <c r="M18" s="7">
        <f t="shared" si="8"/>
        <v>740.65</v>
      </c>
      <c r="N18" s="36">
        <f t="shared" si="8"/>
        <v>840.476</v>
      </c>
      <c r="O18" s="1"/>
      <c r="P18" s="3"/>
      <c r="Q18" s="5"/>
      <c r="R18" s="5"/>
      <c r="S18" s="5"/>
      <c r="T18" s="5"/>
      <c r="U18" s="1"/>
      <c r="V18" s="3"/>
      <c r="W18" s="5"/>
      <c r="X18" s="5"/>
      <c r="Y18" s="5"/>
      <c r="Z18" s="5"/>
    </row>
    <row r="19" spans="2:26" ht="15.75" thickBot="1" x14ac:dyDescent="0.3">
      <c r="B19" s="232"/>
      <c r="C19" s="61"/>
      <c r="D19" s="62" t="s">
        <v>12</v>
      </c>
      <c r="E19" s="66"/>
      <c r="F19" s="67"/>
      <c r="G19" s="63">
        <f t="shared" ref="G19:N19" si="9">G10+G18</f>
        <v>33.465000000000003</v>
      </c>
      <c r="H19" s="64">
        <f t="shared" si="9"/>
        <v>39.524000000000001</v>
      </c>
      <c r="I19" s="63">
        <f t="shared" si="9"/>
        <v>33.74</v>
      </c>
      <c r="J19" s="64">
        <f t="shared" si="9"/>
        <v>39.879999999999995</v>
      </c>
      <c r="K19" s="63">
        <f t="shared" si="9"/>
        <v>146.88</v>
      </c>
      <c r="L19" s="64">
        <f t="shared" si="9"/>
        <v>172.42000000000002</v>
      </c>
      <c r="M19" s="63">
        <f t="shared" si="9"/>
        <v>1025.04</v>
      </c>
      <c r="N19" s="65">
        <f t="shared" si="9"/>
        <v>1206.6959999999999</v>
      </c>
      <c r="O19" s="1"/>
      <c r="P19" s="3"/>
      <c r="Q19" s="5"/>
      <c r="R19" s="5"/>
      <c r="S19" s="5"/>
      <c r="T19" s="5"/>
      <c r="U19" s="1"/>
      <c r="V19" s="3"/>
      <c r="W19" s="5"/>
      <c r="X19" s="5"/>
      <c r="Y19" s="5"/>
      <c r="Z19" s="5"/>
    </row>
    <row r="20" spans="2:26" x14ac:dyDescent="0.25">
      <c r="B20" s="245" t="s">
        <v>44</v>
      </c>
      <c r="C20" s="203" t="s">
        <v>8</v>
      </c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5"/>
    </row>
    <row r="21" spans="2:26" x14ac:dyDescent="0.25">
      <c r="B21" s="246"/>
      <c r="C21" s="107" t="s">
        <v>116</v>
      </c>
      <c r="D21" s="8" t="s">
        <v>117</v>
      </c>
      <c r="E21" s="84">
        <v>150</v>
      </c>
      <c r="F21" s="30">
        <v>200</v>
      </c>
      <c r="G21" s="22">
        <f>E21*3.62/100</f>
        <v>5.43</v>
      </c>
      <c r="H21" s="33">
        <f>F21*3.62/100</f>
        <v>7.24</v>
      </c>
      <c r="I21" s="22">
        <f>E21*3.32/100</f>
        <v>4.9800000000000004</v>
      </c>
      <c r="J21" s="33">
        <f>F21*3.32/100</f>
        <v>6.64</v>
      </c>
      <c r="K21" s="22">
        <f>E21*16.56/100</f>
        <v>24.84</v>
      </c>
      <c r="L21" s="33">
        <f>F21*16.56/100</f>
        <v>33.119999999999997</v>
      </c>
      <c r="M21" s="22">
        <f t="shared" ref="M21:N21" si="10">G21*4+I21*9+K21*4</f>
        <v>165.9</v>
      </c>
      <c r="N21" s="35">
        <f t="shared" si="10"/>
        <v>221.2</v>
      </c>
    </row>
    <row r="22" spans="2:26" x14ac:dyDescent="0.25">
      <c r="B22" s="246"/>
      <c r="C22" s="21" t="s">
        <v>85</v>
      </c>
      <c r="D22" s="6" t="s">
        <v>86</v>
      </c>
      <c r="E22" s="59">
        <v>30</v>
      </c>
      <c r="F22" s="60">
        <v>40</v>
      </c>
      <c r="G22" s="22">
        <f>E22*7.6/100</f>
        <v>2.2799999999999998</v>
      </c>
      <c r="H22" s="33">
        <f>F22*7.6/100</f>
        <v>3.04</v>
      </c>
      <c r="I22" s="22">
        <f>E22*0.8/100</f>
        <v>0.24</v>
      </c>
      <c r="J22" s="33">
        <f>F22*0.8/100</f>
        <v>0.32</v>
      </c>
      <c r="K22" s="22">
        <f>E22*49.2/100</f>
        <v>14.76</v>
      </c>
      <c r="L22" s="33">
        <f>F22*49.2/100</f>
        <v>19.68</v>
      </c>
      <c r="M22" s="22">
        <f t="shared" ref="M22:N23" si="11">G22*4+I22*9+K22*4</f>
        <v>70.319999999999993</v>
      </c>
      <c r="N22" s="35">
        <f t="shared" si="11"/>
        <v>93.759999999999991</v>
      </c>
    </row>
    <row r="23" spans="2:26" x14ac:dyDescent="0.25">
      <c r="B23" s="246"/>
      <c r="C23" s="21" t="s">
        <v>49</v>
      </c>
      <c r="D23" s="6" t="s">
        <v>11</v>
      </c>
      <c r="E23" s="76">
        <v>200</v>
      </c>
      <c r="F23" s="31">
        <v>200</v>
      </c>
      <c r="G23" s="22">
        <f>E23*0.3/200</f>
        <v>0.3</v>
      </c>
      <c r="H23" s="33">
        <f>F23*0.3/200</f>
        <v>0.3</v>
      </c>
      <c r="I23" s="22">
        <f t="shared" ref="I23:J23" si="12">E23*0.1/200</f>
        <v>0.1</v>
      </c>
      <c r="J23" s="33">
        <f t="shared" si="12"/>
        <v>0.1</v>
      </c>
      <c r="K23" s="22">
        <f>E23*9.5/200</f>
        <v>9.5</v>
      </c>
      <c r="L23" s="33">
        <f>F23*9.5/200</f>
        <v>9.5</v>
      </c>
      <c r="M23" s="22">
        <f t="shared" si="11"/>
        <v>40.1</v>
      </c>
      <c r="N23" s="35">
        <f t="shared" si="11"/>
        <v>40.1</v>
      </c>
    </row>
    <row r="24" spans="2:26" x14ac:dyDescent="0.25">
      <c r="B24" s="246"/>
      <c r="C24" s="68"/>
      <c r="D24" s="69" t="s">
        <v>13</v>
      </c>
      <c r="E24" s="70">
        <f t="shared" ref="E24:L24" si="13">SUM(E21:E23)</f>
        <v>380</v>
      </c>
      <c r="F24" s="71">
        <f t="shared" si="13"/>
        <v>440</v>
      </c>
      <c r="G24" s="72">
        <f t="shared" si="13"/>
        <v>8.01</v>
      </c>
      <c r="H24" s="73">
        <f t="shared" si="13"/>
        <v>10.580000000000002</v>
      </c>
      <c r="I24" s="72">
        <f t="shared" si="13"/>
        <v>5.32</v>
      </c>
      <c r="J24" s="73">
        <f t="shared" si="13"/>
        <v>7.06</v>
      </c>
      <c r="K24" s="72">
        <f t="shared" si="13"/>
        <v>49.1</v>
      </c>
      <c r="L24" s="73">
        <f t="shared" si="13"/>
        <v>62.3</v>
      </c>
      <c r="M24" s="72">
        <f t="shared" ref="M24:N24" si="14">G24*4+I24*9+K24*4</f>
        <v>276.32</v>
      </c>
      <c r="N24" s="74">
        <f t="shared" si="14"/>
        <v>355.06</v>
      </c>
    </row>
    <row r="25" spans="2:26" x14ac:dyDescent="0.25">
      <c r="B25" s="246"/>
      <c r="C25" s="244" t="s">
        <v>9</v>
      </c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3"/>
    </row>
    <row r="26" spans="2:26" s="16" customFormat="1" x14ac:dyDescent="0.25">
      <c r="B26" s="246"/>
      <c r="C26" s="107" t="s">
        <v>168</v>
      </c>
      <c r="D26" s="9" t="s">
        <v>169</v>
      </c>
      <c r="E26" s="105">
        <v>60</v>
      </c>
      <c r="F26" s="43">
        <v>100</v>
      </c>
      <c r="G26" s="22">
        <f>E26*0.8/100</f>
        <v>0.48</v>
      </c>
      <c r="H26" s="33">
        <f>F26*0.8/100</f>
        <v>0.8</v>
      </c>
      <c r="I26" s="22">
        <f>E26*6/100</f>
        <v>3.6</v>
      </c>
      <c r="J26" s="33">
        <f>F26*6/100</f>
        <v>6</v>
      </c>
      <c r="K26" s="22">
        <f>E26*2.6/100</f>
        <v>1.56</v>
      </c>
      <c r="L26" s="33">
        <f>F26*2.6/100</f>
        <v>2.6</v>
      </c>
      <c r="M26" s="22">
        <f t="shared" ref="M26:N28" si="15">G26*4+I26*9+K26*4</f>
        <v>40.56</v>
      </c>
      <c r="N26" s="35">
        <f t="shared" si="15"/>
        <v>67.600000000000009</v>
      </c>
    </row>
    <row r="27" spans="2:26" s="16" customFormat="1" x14ac:dyDescent="0.25">
      <c r="B27" s="246"/>
      <c r="C27" s="106" t="s">
        <v>194</v>
      </c>
      <c r="D27" s="48" t="s">
        <v>195</v>
      </c>
      <c r="E27" s="105">
        <v>200</v>
      </c>
      <c r="F27" s="43">
        <v>250</v>
      </c>
      <c r="G27" s="23">
        <f>E27*2.6/250</f>
        <v>2.08</v>
      </c>
      <c r="H27" s="44">
        <f>F27*2.6/250</f>
        <v>2.6</v>
      </c>
      <c r="I27" s="23">
        <f>E27*5.3/250</f>
        <v>4.24</v>
      </c>
      <c r="J27" s="44">
        <f>F27*5.3/250</f>
        <v>5.3</v>
      </c>
      <c r="K27" s="23">
        <f>E27*14.3/250</f>
        <v>11.44</v>
      </c>
      <c r="L27" s="44">
        <f>F27*14.3/250</f>
        <v>14.3</v>
      </c>
      <c r="M27" s="23">
        <f t="shared" si="15"/>
        <v>92.240000000000009</v>
      </c>
      <c r="N27" s="41">
        <f t="shared" si="15"/>
        <v>115.3</v>
      </c>
    </row>
    <row r="28" spans="2:26" x14ac:dyDescent="0.25">
      <c r="B28" s="246"/>
      <c r="C28" s="21" t="s">
        <v>121</v>
      </c>
      <c r="D28" s="6" t="s">
        <v>122</v>
      </c>
      <c r="E28" s="84">
        <v>100</v>
      </c>
      <c r="F28" s="31">
        <v>180</v>
      </c>
      <c r="G28" s="22">
        <f>E28*2.1/100</f>
        <v>2.1</v>
      </c>
      <c r="H28" s="33">
        <f>F28*2.1/100</f>
        <v>3.78</v>
      </c>
      <c r="I28" s="22">
        <f>E28*6.4/100</f>
        <v>6.4</v>
      </c>
      <c r="J28" s="33">
        <f>F28*6.4/100</f>
        <v>11.52</v>
      </c>
      <c r="K28" s="22">
        <f>E28*18.5/100</f>
        <v>18.5</v>
      </c>
      <c r="L28" s="33">
        <f>F28*18.5/100</f>
        <v>33.299999999999997</v>
      </c>
      <c r="M28" s="22">
        <f>G28*4+I28*9+K28*4</f>
        <v>140</v>
      </c>
      <c r="N28" s="35">
        <f t="shared" si="15"/>
        <v>252</v>
      </c>
    </row>
    <row r="29" spans="2:26" s="16" customFormat="1" x14ac:dyDescent="0.25">
      <c r="B29" s="246"/>
      <c r="C29" s="107" t="s">
        <v>205</v>
      </c>
      <c r="D29" s="9" t="s">
        <v>206</v>
      </c>
      <c r="E29" s="84">
        <v>90</v>
      </c>
      <c r="F29" s="31">
        <v>100</v>
      </c>
      <c r="G29" s="22">
        <f>E29*14.3/100</f>
        <v>12.87</v>
      </c>
      <c r="H29" s="33">
        <f>F29*14.3/100</f>
        <v>14.3</v>
      </c>
      <c r="I29" s="22">
        <f>E29*17.1/100</f>
        <v>15.390000000000002</v>
      </c>
      <c r="J29" s="33">
        <f>F29*17.1/100</f>
        <v>17.100000000000001</v>
      </c>
      <c r="K29" s="22">
        <f>E29*9.5/100</f>
        <v>8.5500000000000007</v>
      </c>
      <c r="L29" s="33">
        <f>F29*9.5/100</f>
        <v>9.5</v>
      </c>
      <c r="M29" s="22">
        <f t="shared" ref="M29:N32" si="16">G29*4+I29*9+K29*4</f>
        <v>224.19</v>
      </c>
      <c r="N29" s="35">
        <f t="shared" si="16"/>
        <v>249.10000000000002</v>
      </c>
    </row>
    <row r="30" spans="2:26" x14ac:dyDescent="0.25">
      <c r="B30" s="246"/>
      <c r="C30" s="107" t="s">
        <v>54</v>
      </c>
      <c r="D30" s="9" t="s">
        <v>55</v>
      </c>
      <c r="E30" s="84">
        <v>200</v>
      </c>
      <c r="F30" s="31">
        <v>200</v>
      </c>
      <c r="G30" s="22">
        <f>E30*0.6/200</f>
        <v>0.6</v>
      </c>
      <c r="H30" s="33">
        <f>F30*0.6/200</f>
        <v>0.6</v>
      </c>
      <c r="I30" s="22">
        <f t="shared" ref="I30:J30" si="17">E30*0.1/200</f>
        <v>0.1</v>
      </c>
      <c r="J30" s="33">
        <f t="shared" si="17"/>
        <v>0.1</v>
      </c>
      <c r="K30" s="22">
        <f>E30*20.1/200</f>
        <v>20.100000000000001</v>
      </c>
      <c r="L30" s="33">
        <f>F30*20.1/200</f>
        <v>20.100000000000001</v>
      </c>
      <c r="M30" s="22">
        <f t="shared" si="16"/>
        <v>83.7</v>
      </c>
      <c r="N30" s="35">
        <f t="shared" si="16"/>
        <v>83.7</v>
      </c>
    </row>
    <row r="31" spans="2:26" x14ac:dyDescent="0.25">
      <c r="B31" s="246"/>
      <c r="C31" s="21" t="s">
        <v>84</v>
      </c>
      <c r="D31" s="6" t="s">
        <v>22</v>
      </c>
      <c r="E31" s="59">
        <v>20</v>
      </c>
      <c r="F31" s="60">
        <v>20</v>
      </c>
      <c r="G31" s="22">
        <f>E31*8/100</f>
        <v>1.6</v>
      </c>
      <c r="H31" s="33">
        <f>F31*8/100</f>
        <v>1.6</v>
      </c>
      <c r="I31" s="22">
        <f>E31*1.5/100</f>
        <v>0.3</v>
      </c>
      <c r="J31" s="33">
        <f>F31*1.5/100</f>
        <v>0.3</v>
      </c>
      <c r="K31" s="22">
        <f>E31*40.1/100</f>
        <v>8.02</v>
      </c>
      <c r="L31" s="33">
        <f>F31*40.1/100</f>
        <v>8.02</v>
      </c>
      <c r="M31" s="22">
        <f t="shared" si="16"/>
        <v>41.18</v>
      </c>
      <c r="N31" s="35">
        <f t="shared" si="16"/>
        <v>41.18</v>
      </c>
    </row>
    <row r="32" spans="2:26" x14ac:dyDescent="0.25">
      <c r="B32" s="246"/>
      <c r="C32" s="21" t="s">
        <v>85</v>
      </c>
      <c r="D32" s="6" t="s">
        <v>86</v>
      </c>
      <c r="E32" s="59">
        <v>40</v>
      </c>
      <c r="F32" s="60">
        <v>50</v>
      </c>
      <c r="G32" s="22">
        <f>E32*7.6/100</f>
        <v>3.04</v>
      </c>
      <c r="H32" s="33">
        <f>F32*7.6/100</f>
        <v>3.8</v>
      </c>
      <c r="I32" s="22">
        <f>E32*0.8/100</f>
        <v>0.32</v>
      </c>
      <c r="J32" s="33">
        <f>F32*0.8/100</f>
        <v>0.4</v>
      </c>
      <c r="K32" s="22">
        <f>E32*49.2/100</f>
        <v>19.68</v>
      </c>
      <c r="L32" s="33">
        <f>F32*49.2/100</f>
        <v>24.6</v>
      </c>
      <c r="M32" s="22">
        <f t="shared" si="16"/>
        <v>93.759999999999991</v>
      </c>
      <c r="N32" s="35">
        <f t="shared" si="16"/>
        <v>117.2</v>
      </c>
    </row>
    <row r="33" spans="2:17" x14ac:dyDescent="0.25">
      <c r="B33" s="246"/>
      <c r="C33" s="21"/>
      <c r="D33" s="4" t="s">
        <v>14</v>
      </c>
      <c r="E33" s="24">
        <f t="shared" ref="E33:N33" si="18">SUM(E26:E32)</f>
        <v>710</v>
      </c>
      <c r="F33" s="38">
        <f t="shared" si="18"/>
        <v>900</v>
      </c>
      <c r="G33" s="7">
        <f t="shared" si="18"/>
        <v>22.770000000000003</v>
      </c>
      <c r="H33" s="34">
        <f t="shared" si="18"/>
        <v>27.480000000000004</v>
      </c>
      <c r="I33" s="7">
        <f t="shared" si="18"/>
        <v>30.350000000000005</v>
      </c>
      <c r="J33" s="34">
        <f t="shared" si="18"/>
        <v>40.72</v>
      </c>
      <c r="K33" s="7">
        <f t="shared" si="18"/>
        <v>87.85</v>
      </c>
      <c r="L33" s="34">
        <f t="shared" si="18"/>
        <v>112.42000000000002</v>
      </c>
      <c r="M33" s="7">
        <f t="shared" si="18"/>
        <v>715.63</v>
      </c>
      <c r="N33" s="36">
        <f t="shared" si="18"/>
        <v>926.08</v>
      </c>
    </row>
    <row r="34" spans="2:17" ht="15.75" thickBot="1" x14ac:dyDescent="0.3">
      <c r="B34" s="246"/>
      <c r="C34" s="61"/>
      <c r="D34" s="62" t="s">
        <v>12</v>
      </c>
      <c r="E34" s="66"/>
      <c r="F34" s="67"/>
      <c r="G34" s="63">
        <f t="shared" ref="G34:N34" si="19">G24+G33</f>
        <v>30.78</v>
      </c>
      <c r="H34" s="64">
        <f t="shared" si="19"/>
        <v>38.06</v>
      </c>
      <c r="I34" s="63">
        <f t="shared" si="19"/>
        <v>35.67</v>
      </c>
      <c r="J34" s="64">
        <f t="shared" si="19"/>
        <v>47.78</v>
      </c>
      <c r="K34" s="63">
        <f t="shared" si="19"/>
        <v>136.94999999999999</v>
      </c>
      <c r="L34" s="64">
        <f t="shared" si="19"/>
        <v>174.72000000000003</v>
      </c>
      <c r="M34" s="63">
        <f t="shared" si="19"/>
        <v>991.95</v>
      </c>
      <c r="N34" s="65">
        <f t="shared" si="19"/>
        <v>1281.1400000000001</v>
      </c>
    </row>
    <row r="35" spans="2:17" x14ac:dyDescent="0.25">
      <c r="B35" s="233" t="s">
        <v>46</v>
      </c>
      <c r="C35" s="203" t="s">
        <v>8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5"/>
    </row>
    <row r="36" spans="2:17" ht="16.5" customHeight="1" x14ac:dyDescent="0.25">
      <c r="B36" s="234"/>
      <c r="C36" s="107" t="s">
        <v>97</v>
      </c>
      <c r="D36" s="8" t="s">
        <v>98</v>
      </c>
      <c r="E36" s="84">
        <v>100</v>
      </c>
      <c r="F36" s="30">
        <v>200</v>
      </c>
      <c r="G36" s="22">
        <f>E36*3.5/100</f>
        <v>3.5</v>
      </c>
      <c r="H36" s="33">
        <f>F36*3.5/100</f>
        <v>7</v>
      </c>
      <c r="I36" s="22">
        <f>E36*4.13/100</f>
        <v>4.13</v>
      </c>
      <c r="J36" s="33">
        <f>F36*4.13/100</f>
        <v>8.26</v>
      </c>
      <c r="K36" s="22">
        <f>E36*14.21/100</f>
        <v>14.21</v>
      </c>
      <c r="L36" s="33">
        <f>F36*14.21/100</f>
        <v>28.42</v>
      </c>
      <c r="M36" s="22">
        <f t="shared" ref="M36:N36" si="20">G36*4+I36*9+K36*4</f>
        <v>108.01</v>
      </c>
      <c r="N36" s="35">
        <f t="shared" si="20"/>
        <v>216.02</v>
      </c>
    </row>
    <row r="37" spans="2:17" x14ac:dyDescent="0.25">
      <c r="B37" s="234"/>
      <c r="C37" s="21" t="s">
        <v>85</v>
      </c>
      <c r="D37" s="6" t="s">
        <v>86</v>
      </c>
      <c r="E37" s="59">
        <v>30</v>
      </c>
      <c r="F37" s="60">
        <v>40</v>
      </c>
      <c r="G37" s="22">
        <f>E37*7.6/100</f>
        <v>2.2799999999999998</v>
      </c>
      <c r="H37" s="33">
        <f>F37*7.6/100</f>
        <v>3.04</v>
      </c>
      <c r="I37" s="22">
        <f>E37*0.8/100</f>
        <v>0.24</v>
      </c>
      <c r="J37" s="33">
        <f>F37*0.8/100</f>
        <v>0.32</v>
      </c>
      <c r="K37" s="22">
        <f>E37*49.2/100</f>
        <v>14.76</v>
      </c>
      <c r="L37" s="33">
        <f>F37*49.2/100</f>
        <v>19.68</v>
      </c>
      <c r="M37" s="22">
        <f t="shared" ref="M37:N38" si="21">G37*4+I37*9+K37*4</f>
        <v>70.319999999999993</v>
      </c>
      <c r="N37" s="35">
        <f t="shared" si="21"/>
        <v>93.759999999999991</v>
      </c>
    </row>
    <row r="38" spans="2:17" x14ac:dyDescent="0.25">
      <c r="B38" s="234"/>
      <c r="C38" s="94" t="s">
        <v>50</v>
      </c>
      <c r="D38" s="9" t="s">
        <v>16</v>
      </c>
      <c r="E38" s="84">
        <v>200</v>
      </c>
      <c r="F38" s="31">
        <v>200</v>
      </c>
      <c r="G38" s="22">
        <f>E38*0.2/200</f>
        <v>0.2</v>
      </c>
      <c r="H38" s="33">
        <f>F38*0.2/200</f>
        <v>0.2</v>
      </c>
      <c r="I38" s="22">
        <f t="shared" ref="I38" si="22">E38*0.1/200</f>
        <v>0.1</v>
      </c>
      <c r="J38" s="33">
        <f t="shared" ref="J38" si="23">F38*0.1/200</f>
        <v>0.1</v>
      </c>
      <c r="K38" s="22">
        <f>E38*9.3/200</f>
        <v>9.3000000000000007</v>
      </c>
      <c r="L38" s="33">
        <f>F38*9.3/200</f>
        <v>9.3000000000000007</v>
      </c>
      <c r="M38" s="22">
        <f t="shared" si="21"/>
        <v>38.900000000000006</v>
      </c>
      <c r="N38" s="35">
        <f t="shared" si="21"/>
        <v>38.900000000000006</v>
      </c>
    </row>
    <row r="39" spans="2:17" x14ac:dyDescent="0.25">
      <c r="B39" s="234"/>
      <c r="C39" s="26"/>
      <c r="D39" s="4" t="s">
        <v>13</v>
      </c>
      <c r="E39" s="24">
        <f t="shared" ref="E39:L39" si="24">SUM(E36:E38)</f>
        <v>330</v>
      </c>
      <c r="F39" s="32">
        <f t="shared" si="24"/>
        <v>440</v>
      </c>
      <c r="G39" s="7">
        <f t="shared" si="24"/>
        <v>5.9799999999999995</v>
      </c>
      <c r="H39" s="34">
        <f t="shared" si="24"/>
        <v>10.239999999999998</v>
      </c>
      <c r="I39" s="7">
        <f t="shared" si="24"/>
        <v>4.47</v>
      </c>
      <c r="J39" s="34">
        <f t="shared" si="24"/>
        <v>8.68</v>
      </c>
      <c r="K39" s="7">
        <f t="shared" si="24"/>
        <v>38.269999999999996</v>
      </c>
      <c r="L39" s="34">
        <f t="shared" si="24"/>
        <v>57.400000000000006</v>
      </c>
      <c r="M39" s="7">
        <f t="shared" ref="M39:N39" si="25">G39*4+I39*9+K39*4</f>
        <v>217.22999999999996</v>
      </c>
      <c r="N39" s="36">
        <f t="shared" si="25"/>
        <v>348.68</v>
      </c>
    </row>
    <row r="40" spans="2:17" x14ac:dyDescent="0.25">
      <c r="B40" s="234"/>
      <c r="C40" s="244" t="s">
        <v>9</v>
      </c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3"/>
    </row>
    <row r="41" spans="2:17" ht="25.5" x14ac:dyDescent="0.25">
      <c r="B41" s="234"/>
      <c r="C41" s="128" t="s">
        <v>217</v>
      </c>
      <c r="D41" s="8" t="s">
        <v>218</v>
      </c>
      <c r="E41" s="127">
        <v>60</v>
      </c>
      <c r="F41" s="43">
        <v>100</v>
      </c>
      <c r="G41" s="23">
        <f>E41*2.1/100</f>
        <v>1.26</v>
      </c>
      <c r="H41" s="44">
        <f>F41*2.1/100</f>
        <v>2.1</v>
      </c>
      <c r="I41" s="23">
        <f>E41*6.3/100</f>
        <v>3.78</v>
      </c>
      <c r="J41" s="44">
        <f>F41*6.3/100</f>
        <v>6.3</v>
      </c>
      <c r="K41" s="23">
        <f>E41*8.23/100</f>
        <v>4.9379999999999997</v>
      </c>
      <c r="L41" s="44">
        <f>F41*8.23/100</f>
        <v>8.23</v>
      </c>
      <c r="M41" s="23">
        <f t="shared" ref="M41:N41" si="26">G41*4+I41*9+K41*4</f>
        <v>58.811999999999998</v>
      </c>
      <c r="N41" s="41">
        <f t="shared" si="26"/>
        <v>98.02</v>
      </c>
    </row>
    <row r="42" spans="2:17" s="16" customFormat="1" x14ac:dyDescent="0.25">
      <c r="B42" s="234"/>
      <c r="C42" s="55" t="s">
        <v>78</v>
      </c>
      <c r="D42" s="9" t="s">
        <v>79</v>
      </c>
      <c r="E42" s="84">
        <v>200</v>
      </c>
      <c r="F42" s="37">
        <v>250</v>
      </c>
      <c r="G42" s="22">
        <f>E42*1.05/100</f>
        <v>2.1</v>
      </c>
      <c r="H42" s="33">
        <f>F42*1.05/100</f>
        <v>2.625</v>
      </c>
      <c r="I42" s="22">
        <f>E42*2.04/100</f>
        <v>4.08</v>
      </c>
      <c r="J42" s="33">
        <f>F42*2.04/100</f>
        <v>5.0999999999999996</v>
      </c>
      <c r="K42" s="22">
        <f>E42*5.3/100</f>
        <v>10.6</v>
      </c>
      <c r="L42" s="33">
        <f>F42*5.3/100</f>
        <v>13.25</v>
      </c>
      <c r="M42" s="23">
        <f t="shared" ref="M42:N43" si="27">G42*4+I42*9+K42*4</f>
        <v>87.52</v>
      </c>
      <c r="N42" s="41">
        <f t="shared" si="27"/>
        <v>109.4</v>
      </c>
    </row>
    <row r="43" spans="2:17" x14ac:dyDescent="0.25">
      <c r="B43" s="234"/>
      <c r="C43" s="94" t="s">
        <v>173</v>
      </c>
      <c r="D43" s="9" t="s">
        <v>174</v>
      </c>
      <c r="E43" s="84">
        <v>90</v>
      </c>
      <c r="F43" s="31">
        <v>100</v>
      </c>
      <c r="G43" s="22">
        <f>E43*12/100</f>
        <v>10.8</v>
      </c>
      <c r="H43" s="33">
        <f>F43*12/100</f>
        <v>12</v>
      </c>
      <c r="I43" s="22">
        <f>E43*24/100</f>
        <v>21.6</v>
      </c>
      <c r="J43" s="33">
        <f>F43*24/100</f>
        <v>24</v>
      </c>
      <c r="K43" s="22">
        <f>E43*5/100</f>
        <v>4.5</v>
      </c>
      <c r="L43" s="33">
        <f>F43*5/100</f>
        <v>5</v>
      </c>
      <c r="M43" s="22">
        <f t="shared" si="27"/>
        <v>255.60000000000002</v>
      </c>
      <c r="N43" s="35">
        <f t="shared" si="27"/>
        <v>284</v>
      </c>
    </row>
    <row r="44" spans="2:17" x14ac:dyDescent="0.25">
      <c r="B44" s="234"/>
      <c r="C44" s="21" t="s">
        <v>170</v>
      </c>
      <c r="D44" s="6" t="s">
        <v>171</v>
      </c>
      <c r="E44" s="84">
        <v>150</v>
      </c>
      <c r="F44" s="31">
        <v>180</v>
      </c>
      <c r="G44" s="22">
        <f>E44*5.67/100</f>
        <v>8.5050000000000008</v>
      </c>
      <c r="H44" s="33">
        <f>F44*5.67/100</f>
        <v>10.206</v>
      </c>
      <c r="I44" s="22">
        <f>E44*4.24/100</f>
        <v>6.36</v>
      </c>
      <c r="J44" s="33">
        <f>F44*4.24/100</f>
        <v>7.6320000000000006</v>
      </c>
      <c r="K44" s="22">
        <f>E44*25.13/100</f>
        <v>37.695</v>
      </c>
      <c r="L44" s="33">
        <f>F44*25.13/100</f>
        <v>45.233999999999995</v>
      </c>
      <c r="M44" s="22">
        <f t="shared" ref="M44:N45" si="28">G44*4+I44*9+K44*4</f>
        <v>242.04000000000002</v>
      </c>
      <c r="N44" s="35">
        <f t="shared" si="28"/>
        <v>290.44799999999998</v>
      </c>
    </row>
    <row r="45" spans="2:17" x14ac:dyDescent="0.25">
      <c r="B45" s="234"/>
      <c r="C45" s="21" t="s">
        <v>49</v>
      </c>
      <c r="D45" s="6" t="s">
        <v>11</v>
      </c>
      <c r="E45" s="84">
        <v>200</v>
      </c>
      <c r="F45" s="31">
        <v>200</v>
      </c>
      <c r="G45" s="22">
        <f>E45*0.3/200</f>
        <v>0.3</v>
      </c>
      <c r="H45" s="33">
        <f>F45*0.3/200</f>
        <v>0.3</v>
      </c>
      <c r="I45" s="22">
        <f t="shared" ref="I45" si="29">E45*0.1/200</f>
        <v>0.1</v>
      </c>
      <c r="J45" s="33">
        <f t="shared" ref="J45" si="30">F45*0.1/200</f>
        <v>0.1</v>
      </c>
      <c r="K45" s="22">
        <f>E45*9.5/200</f>
        <v>9.5</v>
      </c>
      <c r="L45" s="33">
        <f>F45*9.5/200</f>
        <v>9.5</v>
      </c>
      <c r="M45" s="22">
        <f t="shared" si="28"/>
        <v>40.1</v>
      </c>
      <c r="N45" s="35">
        <f t="shared" si="28"/>
        <v>40.1</v>
      </c>
    </row>
    <row r="46" spans="2:17" x14ac:dyDescent="0.25">
      <c r="B46" s="234"/>
      <c r="C46" s="21" t="s">
        <v>84</v>
      </c>
      <c r="D46" s="6" t="s">
        <v>22</v>
      </c>
      <c r="E46" s="59">
        <v>20</v>
      </c>
      <c r="F46" s="60">
        <v>20</v>
      </c>
      <c r="G46" s="22">
        <f>E46*8/100</f>
        <v>1.6</v>
      </c>
      <c r="H46" s="33">
        <f>F46*8/100</f>
        <v>1.6</v>
      </c>
      <c r="I46" s="22">
        <f>E46*1.5/100</f>
        <v>0.3</v>
      </c>
      <c r="J46" s="33">
        <f>F46*1.5/100</f>
        <v>0.3</v>
      </c>
      <c r="K46" s="22">
        <f>E46*40.1/100</f>
        <v>8.02</v>
      </c>
      <c r="L46" s="33">
        <f>F46*40.1/100</f>
        <v>8.02</v>
      </c>
      <c r="M46" s="22">
        <f t="shared" ref="M46:N47" si="31">G46*4+I46*9+K46*4</f>
        <v>41.18</v>
      </c>
      <c r="N46" s="35">
        <f t="shared" si="31"/>
        <v>41.18</v>
      </c>
    </row>
    <row r="47" spans="2:17" x14ac:dyDescent="0.25">
      <c r="B47" s="234"/>
      <c r="C47" s="21" t="s">
        <v>85</v>
      </c>
      <c r="D47" s="6" t="s">
        <v>86</v>
      </c>
      <c r="E47" s="59">
        <v>40</v>
      </c>
      <c r="F47" s="60">
        <v>50</v>
      </c>
      <c r="G47" s="22">
        <f>E47*7.6/100</f>
        <v>3.04</v>
      </c>
      <c r="H47" s="33">
        <f>F47*7.6/100</f>
        <v>3.8</v>
      </c>
      <c r="I47" s="22">
        <f>E47*0.8/100</f>
        <v>0.32</v>
      </c>
      <c r="J47" s="33">
        <f>F47*0.8/100</f>
        <v>0.4</v>
      </c>
      <c r="K47" s="22">
        <f>E47*49.2/100</f>
        <v>19.68</v>
      </c>
      <c r="L47" s="33">
        <f>F47*49.2/100</f>
        <v>24.6</v>
      </c>
      <c r="M47" s="22">
        <f t="shared" si="31"/>
        <v>93.759999999999991</v>
      </c>
      <c r="N47" s="35">
        <f t="shared" si="31"/>
        <v>117.2</v>
      </c>
      <c r="Q47" s="14" t="s">
        <v>24</v>
      </c>
    </row>
    <row r="48" spans="2:17" x14ac:dyDescent="0.25">
      <c r="B48" s="234"/>
      <c r="C48" s="21"/>
      <c r="D48" s="4" t="s">
        <v>14</v>
      </c>
      <c r="E48" s="24">
        <f t="shared" ref="E48:N48" si="32">SUM(E41:E47)</f>
        <v>760</v>
      </c>
      <c r="F48" s="38">
        <f t="shared" si="32"/>
        <v>900</v>
      </c>
      <c r="G48" s="7">
        <f t="shared" si="32"/>
        <v>27.605</v>
      </c>
      <c r="H48" s="34">
        <f t="shared" si="32"/>
        <v>32.631</v>
      </c>
      <c r="I48" s="24">
        <f t="shared" si="32"/>
        <v>36.54</v>
      </c>
      <c r="J48" s="34">
        <f t="shared" si="32"/>
        <v>43.831999999999994</v>
      </c>
      <c r="K48" s="7">
        <f t="shared" si="32"/>
        <v>94.932999999999993</v>
      </c>
      <c r="L48" s="34">
        <f t="shared" si="32"/>
        <v>113.834</v>
      </c>
      <c r="M48" s="7">
        <f t="shared" si="32"/>
        <v>819.01199999999994</v>
      </c>
      <c r="N48" s="36">
        <f t="shared" si="32"/>
        <v>980.34799999999996</v>
      </c>
    </row>
    <row r="49" spans="2:14" ht="15.75" thickBot="1" x14ac:dyDescent="0.3">
      <c r="B49" s="235"/>
      <c r="C49" s="25"/>
      <c r="D49" s="17" t="s">
        <v>12</v>
      </c>
      <c r="E49" s="18"/>
      <c r="F49" s="39"/>
      <c r="G49" s="19">
        <f t="shared" ref="G49:N49" si="33">G39+G48</f>
        <v>33.585000000000001</v>
      </c>
      <c r="H49" s="40">
        <f t="shared" si="33"/>
        <v>42.870999999999995</v>
      </c>
      <c r="I49" s="19">
        <f t="shared" si="33"/>
        <v>41.01</v>
      </c>
      <c r="J49" s="40">
        <f t="shared" si="33"/>
        <v>52.511999999999993</v>
      </c>
      <c r="K49" s="19">
        <f t="shared" si="33"/>
        <v>133.20299999999997</v>
      </c>
      <c r="L49" s="40">
        <f t="shared" si="33"/>
        <v>171.23400000000001</v>
      </c>
      <c r="M49" s="19">
        <f t="shared" si="33"/>
        <v>1036.242</v>
      </c>
      <c r="N49" s="42">
        <f t="shared" si="33"/>
        <v>1329.028</v>
      </c>
    </row>
    <row r="50" spans="2:14" ht="15.75" x14ac:dyDescent="0.25">
      <c r="B50" s="227"/>
      <c r="C50" s="227"/>
      <c r="D50" s="227"/>
      <c r="E50" s="227"/>
      <c r="H50" s="15"/>
    </row>
    <row r="63" spans="2:14" x14ac:dyDescent="0.25">
      <c r="F63" s="1"/>
    </row>
    <row r="71" spans="10:10" x14ac:dyDescent="0.25">
      <c r="J71" s="1"/>
    </row>
  </sheetData>
  <mergeCells count="20">
    <mergeCell ref="M3:N4"/>
    <mergeCell ref="G4:H4"/>
    <mergeCell ref="I4:J4"/>
    <mergeCell ref="K4:L4"/>
    <mergeCell ref="B2:E2"/>
    <mergeCell ref="B3:B5"/>
    <mergeCell ref="C3:C5"/>
    <mergeCell ref="D3:D5"/>
    <mergeCell ref="E3:F4"/>
    <mergeCell ref="G3:L3"/>
    <mergeCell ref="C35:N35"/>
    <mergeCell ref="C40:N40"/>
    <mergeCell ref="B50:E50"/>
    <mergeCell ref="C6:N6"/>
    <mergeCell ref="C11:N11"/>
    <mergeCell ref="C20:N20"/>
    <mergeCell ref="C25:N25"/>
    <mergeCell ref="B6:B19"/>
    <mergeCell ref="B20:B34"/>
    <mergeCell ref="B35:B49"/>
  </mergeCells>
  <pageMargins left="0.23622047244094491" right="0.23622047244094491" top="0.19685039370078741" bottom="0.19685039370078741" header="0.31496062992125984" footer="0.31496062992125984"/>
  <pageSetup paperSize="9" scale="75" fitToWidth="0" fitToHeight="0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B1:Z64"/>
  <sheetViews>
    <sheetView zoomScale="90" zoomScaleNormal="90" zoomScalePageLayoutView="90" workbookViewId="0">
      <selection activeCell="Q34" sqref="Q34:R34"/>
    </sheetView>
  </sheetViews>
  <sheetFormatPr defaultRowHeight="15" x14ac:dyDescent="0.25"/>
  <cols>
    <col min="1" max="1" width="8.42578125" style="16" customWidth="1"/>
    <col min="2" max="2" width="2.7109375" style="16" customWidth="1"/>
    <col min="3" max="3" width="10.5703125" style="16" customWidth="1"/>
    <col min="4" max="4" width="38" style="16" customWidth="1"/>
    <col min="5" max="6" width="7.28515625" style="16" customWidth="1"/>
    <col min="7" max="7" width="6.7109375" style="16" customWidth="1"/>
    <col min="8" max="8" width="6.85546875" style="16" customWidth="1"/>
    <col min="9" max="9" width="6.42578125" style="16" customWidth="1"/>
    <col min="10" max="10" width="6.5703125" style="16" customWidth="1"/>
    <col min="11" max="11" width="7.5703125" style="16" customWidth="1"/>
    <col min="12" max="12" width="7.42578125" style="16" customWidth="1"/>
    <col min="13" max="13" width="8.5703125" style="16" customWidth="1"/>
    <col min="14" max="14" width="7.5703125" style="16" customWidth="1"/>
    <col min="15" max="15" width="9" style="16" customWidth="1"/>
    <col min="16" max="16" width="7.28515625" style="16" customWidth="1"/>
    <col min="17" max="20" width="9.140625" style="16"/>
    <col min="21" max="21" width="19.7109375" style="16" customWidth="1"/>
    <col min="22" max="22" width="7.7109375" style="16" customWidth="1"/>
    <col min="23" max="23" width="9.140625" style="16"/>
    <col min="24" max="24" width="7.7109375" style="16" customWidth="1"/>
    <col min="25" max="16384" width="9.140625" style="16"/>
  </cols>
  <sheetData>
    <row r="1" spans="2:26" ht="23.25" customHeight="1" x14ac:dyDescent="0.25"/>
    <row r="2" spans="2:26" ht="16.5" customHeight="1" thickBot="1" x14ac:dyDescent="0.3">
      <c r="B2" s="227" t="s">
        <v>56</v>
      </c>
      <c r="C2" s="227"/>
      <c r="D2" s="227"/>
      <c r="E2" s="227"/>
      <c r="O2" s="2"/>
      <c r="P2" s="2"/>
      <c r="Q2" s="1"/>
      <c r="R2" s="1"/>
      <c r="S2" s="1"/>
      <c r="T2" s="1"/>
      <c r="U2" s="2"/>
      <c r="V2" s="2"/>
      <c r="W2" s="1"/>
      <c r="X2" s="1"/>
      <c r="Y2" s="1"/>
      <c r="Z2" s="1"/>
    </row>
    <row r="3" spans="2:26" ht="15" customHeight="1" x14ac:dyDescent="0.25">
      <c r="B3" s="228" t="s">
        <v>45</v>
      </c>
      <c r="C3" s="206" t="s">
        <v>0</v>
      </c>
      <c r="D3" s="209" t="s">
        <v>1</v>
      </c>
      <c r="E3" s="212" t="s">
        <v>6</v>
      </c>
      <c r="F3" s="213"/>
      <c r="G3" s="216" t="s">
        <v>7</v>
      </c>
      <c r="H3" s="216"/>
      <c r="I3" s="216"/>
      <c r="J3" s="216"/>
      <c r="K3" s="216"/>
      <c r="L3" s="216"/>
      <c r="M3" s="217" t="s">
        <v>5</v>
      </c>
      <c r="N3" s="218"/>
      <c r="O3" s="1"/>
      <c r="P3" s="3"/>
      <c r="Q3" s="5"/>
      <c r="R3" s="5"/>
      <c r="S3" s="5"/>
      <c r="T3" s="5"/>
      <c r="U3" s="1"/>
      <c r="V3" s="3"/>
      <c r="W3" s="5"/>
      <c r="X3" s="5"/>
      <c r="Y3" s="5"/>
      <c r="Z3" s="5"/>
    </row>
    <row r="4" spans="2:26" x14ac:dyDescent="0.25">
      <c r="B4" s="229"/>
      <c r="C4" s="207"/>
      <c r="D4" s="210"/>
      <c r="E4" s="214"/>
      <c r="F4" s="215"/>
      <c r="G4" s="221" t="s">
        <v>3</v>
      </c>
      <c r="H4" s="221"/>
      <c r="I4" s="219" t="s">
        <v>2</v>
      </c>
      <c r="J4" s="219"/>
      <c r="K4" s="221" t="s">
        <v>4</v>
      </c>
      <c r="L4" s="221"/>
      <c r="M4" s="219"/>
      <c r="N4" s="220"/>
      <c r="O4" s="1"/>
      <c r="P4" s="3"/>
      <c r="Q4" s="5"/>
      <c r="R4" s="5"/>
      <c r="S4" s="5"/>
      <c r="T4" s="5"/>
      <c r="U4" s="1"/>
      <c r="V4" s="3"/>
      <c r="W4" s="5"/>
      <c r="X4" s="5"/>
      <c r="Y4" s="5"/>
      <c r="Z4" s="5"/>
    </row>
    <row r="5" spans="2:26" ht="27.75" customHeight="1" thickBot="1" x14ac:dyDescent="0.3">
      <c r="B5" s="230"/>
      <c r="C5" s="208"/>
      <c r="D5" s="211"/>
      <c r="E5" s="27" t="s">
        <v>15</v>
      </c>
      <c r="F5" s="28" t="s">
        <v>48</v>
      </c>
      <c r="G5" s="27" t="s">
        <v>15</v>
      </c>
      <c r="H5" s="28" t="s">
        <v>48</v>
      </c>
      <c r="I5" s="27" t="s">
        <v>15</v>
      </c>
      <c r="J5" s="28" t="s">
        <v>48</v>
      </c>
      <c r="K5" s="27" t="s">
        <v>15</v>
      </c>
      <c r="L5" s="28" t="s">
        <v>48</v>
      </c>
      <c r="M5" s="27" t="s">
        <v>15</v>
      </c>
      <c r="N5" s="29" t="s">
        <v>48</v>
      </c>
      <c r="O5" s="1"/>
      <c r="P5" s="3"/>
      <c r="Q5" s="5"/>
      <c r="R5" s="5"/>
      <c r="S5" s="5"/>
      <c r="T5" s="5"/>
      <c r="U5" s="1"/>
      <c r="V5" s="3"/>
      <c r="W5" s="5"/>
      <c r="X5" s="5"/>
      <c r="Y5" s="5"/>
      <c r="Z5" s="5"/>
    </row>
    <row r="6" spans="2:26" ht="15" customHeight="1" x14ac:dyDescent="0.25">
      <c r="B6" s="262" t="s">
        <v>51</v>
      </c>
      <c r="C6" s="248" t="s">
        <v>8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50"/>
      <c r="O6" s="1"/>
      <c r="P6" s="3"/>
      <c r="Q6" s="5"/>
      <c r="R6" s="5"/>
      <c r="S6" s="5"/>
      <c r="T6" s="5"/>
      <c r="U6" s="1"/>
      <c r="V6" s="3"/>
      <c r="W6" s="5"/>
      <c r="X6" s="5"/>
      <c r="Y6" s="5"/>
      <c r="Z6" s="5"/>
    </row>
    <row r="7" spans="2:26" x14ac:dyDescent="0.25">
      <c r="B7" s="263"/>
      <c r="C7" s="106" t="s">
        <v>69</v>
      </c>
      <c r="D7" s="48" t="s">
        <v>17</v>
      </c>
      <c r="E7" s="84">
        <v>150</v>
      </c>
      <c r="F7" s="31">
        <v>200</v>
      </c>
      <c r="G7" s="22">
        <f>E7*2.5/100</f>
        <v>3.75</v>
      </c>
      <c r="H7" s="33">
        <f>F7*2.5/100</f>
        <v>5</v>
      </c>
      <c r="I7" s="22">
        <f>E7*3.18/100</f>
        <v>4.7699999999999996</v>
      </c>
      <c r="J7" s="33">
        <f>F7*3.18/100</f>
        <v>6.36</v>
      </c>
      <c r="K7" s="22">
        <f>E7*15.7/100</f>
        <v>23.55</v>
      </c>
      <c r="L7" s="33">
        <f>F7*15.7/100</f>
        <v>31.4</v>
      </c>
      <c r="M7" s="22">
        <f t="shared" ref="M7" si="0">G7*4+I7*9+K7*4</f>
        <v>152.13</v>
      </c>
      <c r="N7" s="35">
        <f t="shared" ref="N7" si="1">H7*4+J7*9+L7*4</f>
        <v>202.84</v>
      </c>
      <c r="O7" s="1"/>
      <c r="P7" s="3"/>
      <c r="Q7" s="5"/>
      <c r="R7" s="5"/>
      <c r="S7" s="5"/>
      <c r="T7" s="5"/>
      <c r="U7" s="1"/>
      <c r="V7" s="3"/>
      <c r="W7" s="5"/>
      <c r="X7" s="5"/>
      <c r="Y7" s="5"/>
      <c r="Z7" s="5"/>
    </row>
    <row r="8" spans="2:26" x14ac:dyDescent="0.25">
      <c r="B8" s="263"/>
      <c r="C8" s="21" t="s">
        <v>85</v>
      </c>
      <c r="D8" s="6" t="s">
        <v>86</v>
      </c>
      <c r="E8" s="59">
        <v>30</v>
      </c>
      <c r="F8" s="60">
        <v>40</v>
      </c>
      <c r="G8" s="22">
        <f>E8*7.6/100</f>
        <v>2.2799999999999998</v>
      </c>
      <c r="H8" s="33">
        <f>F8*7.6/100</f>
        <v>3.04</v>
      </c>
      <c r="I8" s="22">
        <f>E8*0.8/100</f>
        <v>0.24</v>
      </c>
      <c r="J8" s="33">
        <f>F8*0.8/100</f>
        <v>0.32</v>
      </c>
      <c r="K8" s="22">
        <f>E8*49.2/100</f>
        <v>14.76</v>
      </c>
      <c r="L8" s="33">
        <f>F8*49.2/100</f>
        <v>19.68</v>
      </c>
      <c r="M8" s="22">
        <f t="shared" ref="M8:N9" si="2">G8*4+I8*9+K8*4</f>
        <v>70.319999999999993</v>
      </c>
      <c r="N8" s="35">
        <f t="shared" si="2"/>
        <v>93.759999999999991</v>
      </c>
      <c r="O8" s="1"/>
      <c r="P8" s="3"/>
      <c r="Q8" s="5"/>
      <c r="R8" s="5"/>
      <c r="S8" s="5"/>
      <c r="T8" s="5"/>
      <c r="U8" s="1"/>
      <c r="V8" s="3"/>
      <c r="W8" s="5"/>
      <c r="X8" s="5"/>
      <c r="Y8" s="5"/>
      <c r="Z8" s="5"/>
    </row>
    <row r="9" spans="2:26" x14ac:dyDescent="0.25">
      <c r="B9" s="263"/>
      <c r="C9" s="21" t="s">
        <v>49</v>
      </c>
      <c r="D9" s="6" t="s">
        <v>11</v>
      </c>
      <c r="E9" s="84">
        <v>200</v>
      </c>
      <c r="F9" s="31">
        <v>200</v>
      </c>
      <c r="G9" s="22">
        <f>E9*0.3/200</f>
        <v>0.3</v>
      </c>
      <c r="H9" s="33">
        <f>F9*0.3/200</f>
        <v>0.3</v>
      </c>
      <c r="I9" s="22">
        <f t="shared" ref="I9:J9" si="3">E9*0.1/200</f>
        <v>0.1</v>
      </c>
      <c r="J9" s="33">
        <f t="shared" si="3"/>
        <v>0.1</v>
      </c>
      <c r="K9" s="22">
        <f>E9*9.5/200</f>
        <v>9.5</v>
      </c>
      <c r="L9" s="33">
        <f>F9*9.5/200</f>
        <v>9.5</v>
      </c>
      <c r="M9" s="22">
        <f t="shared" si="2"/>
        <v>40.1</v>
      </c>
      <c r="N9" s="35">
        <f t="shared" si="2"/>
        <v>40.1</v>
      </c>
      <c r="O9" s="1"/>
      <c r="P9" s="3"/>
      <c r="Q9" s="5"/>
      <c r="R9" s="5"/>
      <c r="S9" s="5"/>
      <c r="T9" s="5"/>
      <c r="U9" s="1"/>
      <c r="V9" s="3"/>
      <c r="W9" s="5"/>
      <c r="X9" s="5"/>
      <c r="Y9" s="5"/>
      <c r="Z9" s="5"/>
    </row>
    <row r="10" spans="2:26" x14ac:dyDescent="0.25">
      <c r="B10" s="263"/>
      <c r="C10" s="26"/>
      <c r="D10" s="4" t="s">
        <v>13</v>
      </c>
      <c r="E10" s="24">
        <f t="shared" ref="E10:L10" si="4">SUM(E7:E9)</f>
        <v>380</v>
      </c>
      <c r="F10" s="32">
        <f t="shared" si="4"/>
        <v>440</v>
      </c>
      <c r="G10" s="7">
        <f t="shared" si="4"/>
        <v>6.3299999999999992</v>
      </c>
      <c r="H10" s="34">
        <f t="shared" si="4"/>
        <v>8.34</v>
      </c>
      <c r="I10" s="7">
        <f t="shared" si="4"/>
        <v>5.1099999999999994</v>
      </c>
      <c r="J10" s="34">
        <f t="shared" si="4"/>
        <v>6.78</v>
      </c>
      <c r="K10" s="7">
        <f t="shared" si="4"/>
        <v>47.81</v>
      </c>
      <c r="L10" s="34">
        <f t="shared" si="4"/>
        <v>60.58</v>
      </c>
      <c r="M10" s="7">
        <f t="shared" ref="M10:N10" si="5">G10*4+I10*9+K10*4</f>
        <v>262.55</v>
      </c>
      <c r="N10" s="36">
        <f t="shared" si="5"/>
        <v>336.7</v>
      </c>
      <c r="O10" s="1"/>
      <c r="P10" s="3"/>
      <c r="Q10" s="5"/>
      <c r="R10" s="5"/>
      <c r="S10" s="5"/>
      <c r="T10" s="5"/>
      <c r="U10" s="1"/>
      <c r="V10" s="3"/>
      <c r="W10" s="5"/>
      <c r="X10" s="5"/>
      <c r="Y10" s="5"/>
      <c r="Z10" s="5"/>
    </row>
    <row r="11" spans="2:26" x14ac:dyDescent="0.25">
      <c r="B11" s="263"/>
      <c r="C11" s="244" t="s">
        <v>9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3"/>
      <c r="O11" s="1"/>
      <c r="P11" s="3"/>
      <c r="Q11" s="5"/>
      <c r="R11" s="5"/>
      <c r="S11" s="5"/>
      <c r="T11" s="5"/>
      <c r="U11" s="1"/>
      <c r="V11" s="3"/>
      <c r="W11" s="5"/>
      <c r="X11" s="5"/>
      <c r="Y11" s="5"/>
      <c r="Z11" s="5"/>
    </row>
    <row r="12" spans="2:26" x14ac:dyDescent="0.25">
      <c r="B12" s="263"/>
      <c r="C12" s="107" t="s">
        <v>207</v>
      </c>
      <c r="D12" s="58" t="s">
        <v>208</v>
      </c>
      <c r="E12" s="105">
        <v>60</v>
      </c>
      <c r="F12" s="43">
        <v>100</v>
      </c>
      <c r="G12" s="23">
        <f>E12*1.3/100</f>
        <v>0.78</v>
      </c>
      <c r="H12" s="44">
        <f>F12*1.3/100</f>
        <v>1.3</v>
      </c>
      <c r="I12" s="23">
        <f>E12*9.9/100</f>
        <v>5.94</v>
      </c>
      <c r="J12" s="44">
        <f>F12*9.9/100</f>
        <v>9.9</v>
      </c>
      <c r="K12" s="23">
        <f>E12*8.4/100</f>
        <v>5.04</v>
      </c>
      <c r="L12" s="44">
        <f>F12*8.4/100</f>
        <v>8.4</v>
      </c>
      <c r="M12" s="23">
        <f t="shared" ref="M12:N17" si="6">G12*4+I12*9+K12*4</f>
        <v>76.739999999999995</v>
      </c>
      <c r="N12" s="41">
        <f t="shared" si="6"/>
        <v>127.9</v>
      </c>
      <c r="O12" s="1"/>
      <c r="P12" s="3"/>
      <c r="Q12" s="5"/>
      <c r="R12" s="5"/>
      <c r="S12" s="5"/>
      <c r="T12" s="5"/>
      <c r="U12" s="1"/>
      <c r="V12" s="3"/>
      <c r="W12" s="5"/>
      <c r="X12" s="5"/>
      <c r="Y12" s="5"/>
      <c r="Z12" s="5"/>
    </row>
    <row r="13" spans="2:26" x14ac:dyDescent="0.25">
      <c r="B13" s="263"/>
      <c r="C13" s="55" t="s">
        <v>177</v>
      </c>
      <c r="D13" s="95" t="s">
        <v>178</v>
      </c>
      <c r="E13" s="105">
        <v>200</v>
      </c>
      <c r="F13" s="43">
        <v>250</v>
      </c>
      <c r="G13" s="22">
        <f>E13*1.6/100</f>
        <v>3.2</v>
      </c>
      <c r="H13" s="33">
        <f>F13*1.6/100</f>
        <v>4</v>
      </c>
      <c r="I13" s="22">
        <f>E13*1.4/100</f>
        <v>2.8</v>
      </c>
      <c r="J13" s="33">
        <f>F13*1.4/100</f>
        <v>3.5</v>
      </c>
      <c r="K13" s="22">
        <f>E13*3.78/100</f>
        <v>7.56</v>
      </c>
      <c r="L13" s="33">
        <f>F13*3.78/100</f>
        <v>9.4499999999999993</v>
      </c>
      <c r="M13" s="23">
        <f t="shared" si="6"/>
        <v>68.239999999999995</v>
      </c>
      <c r="N13" s="41">
        <f t="shared" si="6"/>
        <v>85.3</v>
      </c>
      <c r="O13" s="1"/>
      <c r="P13" s="3"/>
      <c r="Q13" s="5"/>
      <c r="R13" s="5"/>
      <c r="S13" s="5"/>
      <c r="T13" s="5"/>
      <c r="U13" s="1"/>
      <c r="V13" s="3"/>
      <c r="W13" s="5"/>
      <c r="X13" s="5"/>
      <c r="Y13" s="5"/>
      <c r="Z13" s="5"/>
    </row>
    <row r="14" spans="2:26" x14ac:dyDescent="0.25">
      <c r="B14" s="263"/>
      <c r="C14" s="107" t="s">
        <v>175</v>
      </c>
      <c r="D14" s="8" t="s">
        <v>176</v>
      </c>
      <c r="E14" s="84">
        <v>230</v>
      </c>
      <c r="F14" s="31">
        <v>250</v>
      </c>
      <c r="G14" s="22">
        <f>E14*7.31/100</f>
        <v>16.812999999999999</v>
      </c>
      <c r="H14" s="33">
        <f>F14*7.31/100</f>
        <v>18.274999999999999</v>
      </c>
      <c r="I14" s="84">
        <f>E14*9.9/100</f>
        <v>22.77</v>
      </c>
      <c r="J14" s="33">
        <f>F14*9.9/100</f>
        <v>24.75</v>
      </c>
      <c r="K14" s="22">
        <f>E14*6.27/100</f>
        <v>14.420999999999999</v>
      </c>
      <c r="L14" s="33">
        <f>F14*6.27/100</f>
        <v>15.675000000000001</v>
      </c>
      <c r="M14" s="22">
        <f t="shared" si="6"/>
        <v>329.86599999999999</v>
      </c>
      <c r="N14" s="35">
        <f t="shared" si="6"/>
        <v>358.55</v>
      </c>
      <c r="O14" s="1"/>
      <c r="P14" s="3"/>
      <c r="Q14" s="5"/>
      <c r="R14" s="5"/>
      <c r="S14" s="5"/>
      <c r="T14" s="5"/>
      <c r="U14" s="1"/>
      <c r="V14" s="3"/>
      <c r="W14" s="5"/>
      <c r="X14" s="5"/>
      <c r="Y14" s="5"/>
      <c r="Z14" s="5"/>
    </row>
    <row r="15" spans="2:26" x14ac:dyDescent="0.25">
      <c r="B15" s="263"/>
      <c r="C15" s="107" t="s">
        <v>54</v>
      </c>
      <c r="D15" s="9" t="s">
        <v>55</v>
      </c>
      <c r="E15" s="84">
        <v>200</v>
      </c>
      <c r="F15" s="31">
        <v>200</v>
      </c>
      <c r="G15" s="22">
        <f>E15*0.6/200</f>
        <v>0.6</v>
      </c>
      <c r="H15" s="33">
        <f>F15*0.6/200</f>
        <v>0.6</v>
      </c>
      <c r="I15" s="22">
        <f t="shared" ref="I15:J15" si="7">E15*0.1/200</f>
        <v>0.1</v>
      </c>
      <c r="J15" s="33">
        <f t="shared" si="7"/>
        <v>0.1</v>
      </c>
      <c r="K15" s="22">
        <f>E15*20.1/200</f>
        <v>20.100000000000001</v>
      </c>
      <c r="L15" s="33">
        <f>F15*20.1/200</f>
        <v>20.100000000000001</v>
      </c>
      <c r="M15" s="22">
        <f t="shared" si="6"/>
        <v>83.7</v>
      </c>
      <c r="N15" s="35">
        <f t="shared" si="6"/>
        <v>83.7</v>
      </c>
      <c r="O15" s="1"/>
      <c r="P15" s="3"/>
      <c r="Q15" s="5"/>
      <c r="R15" s="5"/>
      <c r="S15" s="5"/>
      <c r="T15" s="5"/>
      <c r="U15" s="1"/>
      <c r="V15" s="3"/>
      <c r="W15" s="5"/>
      <c r="X15" s="5"/>
      <c r="Y15" s="5"/>
      <c r="Z15" s="5"/>
    </row>
    <row r="16" spans="2:26" x14ac:dyDescent="0.25">
      <c r="B16" s="263"/>
      <c r="C16" s="21" t="s">
        <v>84</v>
      </c>
      <c r="D16" s="6" t="s">
        <v>22</v>
      </c>
      <c r="E16" s="59">
        <v>20</v>
      </c>
      <c r="F16" s="60">
        <v>20</v>
      </c>
      <c r="G16" s="22">
        <f>E16*8/100</f>
        <v>1.6</v>
      </c>
      <c r="H16" s="33">
        <f>F16*8/100</f>
        <v>1.6</v>
      </c>
      <c r="I16" s="22">
        <f>E16*1.5/100</f>
        <v>0.3</v>
      </c>
      <c r="J16" s="33">
        <f>F16*1.5/100</f>
        <v>0.3</v>
      </c>
      <c r="K16" s="22">
        <f>E16*40.1/100</f>
        <v>8.02</v>
      </c>
      <c r="L16" s="33">
        <f>F16*40.1/100</f>
        <v>8.02</v>
      </c>
      <c r="M16" s="22">
        <f t="shared" si="6"/>
        <v>41.18</v>
      </c>
      <c r="N16" s="35">
        <f t="shared" si="6"/>
        <v>41.18</v>
      </c>
      <c r="O16" s="1"/>
      <c r="P16" s="3"/>
      <c r="Q16" s="5"/>
      <c r="R16" s="5"/>
      <c r="S16" s="5"/>
      <c r="T16" s="5"/>
      <c r="U16" s="1"/>
      <c r="V16" s="3"/>
      <c r="W16" s="5"/>
      <c r="X16" s="5"/>
      <c r="Y16" s="5"/>
      <c r="Z16" s="5"/>
    </row>
    <row r="17" spans="2:26" x14ac:dyDescent="0.25">
      <c r="B17" s="263"/>
      <c r="C17" s="21" t="s">
        <v>85</v>
      </c>
      <c r="D17" s="6" t="s">
        <v>86</v>
      </c>
      <c r="E17" s="59">
        <v>50</v>
      </c>
      <c r="F17" s="60">
        <v>50</v>
      </c>
      <c r="G17" s="22">
        <f>E17*7.6/100</f>
        <v>3.8</v>
      </c>
      <c r="H17" s="33">
        <f>F17*7.6/100</f>
        <v>3.8</v>
      </c>
      <c r="I17" s="22">
        <f>E17*0.8/100</f>
        <v>0.4</v>
      </c>
      <c r="J17" s="33">
        <f>F17*0.8/100</f>
        <v>0.4</v>
      </c>
      <c r="K17" s="22">
        <f>E17*49.2/100</f>
        <v>24.6</v>
      </c>
      <c r="L17" s="33">
        <f>F17*49.2/100</f>
        <v>24.6</v>
      </c>
      <c r="M17" s="22">
        <f t="shared" si="6"/>
        <v>117.2</v>
      </c>
      <c r="N17" s="35">
        <f t="shared" si="6"/>
        <v>117.2</v>
      </c>
      <c r="O17" s="1"/>
      <c r="P17" s="3"/>
      <c r="Q17" s="5"/>
      <c r="R17" s="5"/>
      <c r="S17" s="5"/>
      <c r="T17" s="5"/>
      <c r="U17" s="1"/>
      <c r="V17" s="3"/>
      <c r="W17" s="5"/>
      <c r="X17" s="5"/>
      <c r="Y17" s="5"/>
      <c r="Z17" s="5"/>
    </row>
    <row r="18" spans="2:26" x14ac:dyDescent="0.25">
      <c r="B18" s="263"/>
      <c r="C18" s="21"/>
      <c r="D18" s="4" t="s">
        <v>14</v>
      </c>
      <c r="E18" s="24">
        <f t="shared" ref="E18:N18" si="8">SUM(E12:E17)</f>
        <v>760</v>
      </c>
      <c r="F18" s="38">
        <f t="shared" si="8"/>
        <v>870</v>
      </c>
      <c r="G18" s="7">
        <f t="shared" si="8"/>
        <v>26.793000000000003</v>
      </c>
      <c r="H18" s="34">
        <f t="shared" si="8"/>
        <v>29.575000000000003</v>
      </c>
      <c r="I18" s="7">
        <f t="shared" si="8"/>
        <v>32.31</v>
      </c>
      <c r="J18" s="34">
        <f t="shared" si="8"/>
        <v>38.949999999999996</v>
      </c>
      <c r="K18" s="7">
        <f t="shared" si="8"/>
        <v>79.741000000000014</v>
      </c>
      <c r="L18" s="34">
        <f t="shared" si="8"/>
        <v>86.245000000000005</v>
      </c>
      <c r="M18" s="7">
        <f t="shared" si="8"/>
        <v>716.92600000000004</v>
      </c>
      <c r="N18" s="36">
        <f t="shared" si="8"/>
        <v>813.83</v>
      </c>
      <c r="O18" s="1"/>
      <c r="P18" s="3"/>
      <c r="Q18" s="5"/>
      <c r="R18" s="5"/>
      <c r="S18" s="5"/>
      <c r="T18" s="5"/>
      <c r="U18" s="1"/>
      <c r="V18" s="3"/>
      <c r="W18" s="5"/>
      <c r="X18" s="5"/>
      <c r="Y18" s="5"/>
      <c r="Z18" s="5"/>
    </row>
    <row r="19" spans="2:26" ht="15.75" thickBot="1" x14ac:dyDescent="0.3">
      <c r="B19" s="263"/>
      <c r="C19" s="61"/>
      <c r="D19" s="62" t="s">
        <v>12</v>
      </c>
      <c r="E19" s="66"/>
      <c r="F19" s="67"/>
      <c r="G19" s="63">
        <f>G10+G18</f>
        <v>33.123000000000005</v>
      </c>
      <c r="H19" s="64">
        <f t="shared" ref="H19:N19" si="9">H10+H18</f>
        <v>37.915000000000006</v>
      </c>
      <c r="I19" s="63">
        <f t="shared" si="9"/>
        <v>37.42</v>
      </c>
      <c r="J19" s="64">
        <f t="shared" si="9"/>
        <v>45.73</v>
      </c>
      <c r="K19" s="63">
        <f t="shared" si="9"/>
        <v>127.55100000000002</v>
      </c>
      <c r="L19" s="64">
        <f t="shared" si="9"/>
        <v>146.82499999999999</v>
      </c>
      <c r="M19" s="63">
        <f t="shared" si="9"/>
        <v>979.47600000000011</v>
      </c>
      <c r="N19" s="65">
        <f t="shared" si="9"/>
        <v>1150.53</v>
      </c>
      <c r="O19" s="1"/>
      <c r="P19" s="3"/>
      <c r="Q19" s="5" t="s">
        <v>24</v>
      </c>
      <c r="R19" s="5"/>
      <c r="S19" s="5"/>
      <c r="T19" s="5"/>
      <c r="U19" s="1"/>
      <c r="V19" s="3"/>
      <c r="W19" s="5"/>
      <c r="X19" s="5"/>
      <c r="Y19" s="5"/>
      <c r="Z19" s="5"/>
    </row>
    <row r="20" spans="2:26" x14ac:dyDescent="0.25">
      <c r="B20" s="262" t="s">
        <v>53</v>
      </c>
      <c r="C20" s="203" t="s">
        <v>8</v>
      </c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5"/>
    </row>
    <row r="21" spans="2:26" x14ac:dyDescent="0.25">
      <c r="B21" s="263"/>
      <c r="C21" s="107" t="s">
        <v>89</v>
      </c>
      <c r="D21" s="9" t="s">
        <v>87</v>
      </c>
      <c r="E21" s="84">
        <v>150</v>
      </c>
      <c r="F21" s="30">
        <v>200</v>
      </c>
      <c r="G21" s="22">
        <f>E21*2.5/100</f>
        <v>3.75</v>
      </c>
      <c r="H21" s="33">
        <f>F21*2.5/100</f>
        <v>5</v>
      </c>
      <c r="I21" s="22">
        <f>E21*3.2/100</f>
        <v>4.8</v>
      </c>
      <c r="J21" s="33">
        <f>F21*3.2/100</f>
        <v>6.4</v>
      </c>
      <c r="K21" s="22">
        <f>E21*13.45/100</f>
        <v>20.175000000000001</v>
      </c>
      <c r="L21" s="33">
        <f>F21*13.46/100</f>
        <v>26.92</v>
      </c>
      <c r="M21" s="22">
        <f t="shared" ref="M21:N21" si="10">G21*4+I21*9+K21*4</f>
        <v>138.9</v>
      </c>
      <c r="N21" s="35">
        <f t="shared" si="10"/>
        <v>185.28</v>
      </c>
      <c r="Q21" s="16" t="s">
        <v>24</v>
      </c>
    </row>
    <row r="22" spans="2:26" x14ac:dyDescent="0.25">
      <c r="B22" s="263"/>
      <c r="C22" s="21" t="s">
        <v>85</v>
      </c>
      <c r="D22" s="6" t="s">
        <v>86</v>
      </c>
      <c r="E22" s="59">
        <v>30</v>
      </c>
      <c r="F22" s="60">
        <v>40</v>
      </c>
      <c r="G22" s="22">
        <f>E22*7.6/100</f>
        <v>2.2799999999999998</v>
      </c>
      <c r="H22" s="33">
        <f>F22*7.6/100</f>
        <v>3.04</v>
      </c>
      <c r="I22" s="22">
        <f>E22*0.8/100</f>
        <v>0.24</v>
      </c>
      <c r="J22" s="33">
        <f>F22*0.8/100</f>
        <v>0.32</v>
      </c>
      <c r="K22" s="22">
        <f>E22*49.2/100</f>
        <v>14.76</v>
      </c>
      <c r="L22" s="33">
        <f>F22*49.2/100</f>
        <v>19.68</v>
      </c>
      <c r="M22" s="22">
        <f t="shared" ref="M22:N23" si="11">G22*4+I22*9+K22*4</f>
        <v>70.319999999999993</v>
      </c>
      <c r="N22" s="35">
        <f t="shared" si="11"/>
        <v>93.759999999999991</v>
      </c>
    </row>
    <row r="23" spans="2:26" x14ac:dyDescent="0.25">
      <c r="B23" s="263"/>
      <c r="C23" s="94" t="s">
        <v>50</v>
      </c>
      <c r="D23" s="9" t="s">
        <v>16</v>
      </c>
      <c r="E23" s="84">
        <v>200</v>
      </c>
      <c r="F23" s="31">
        <v>200</v>
      </c>
      <c r="G23" s="22">
        <f>E23*0.2/200</f>
        <v>0.2</v>
      </c>
      <c r="H23" s="33">
        <f>F23*0.2/200</f>
        <v>0.2</v>
      </c>
      <c r="I23" s="22">
        <f t="shared" ref="I23:J23" si="12">E23*0.1/200</f>
        <v>0.1</v>
      </c>
      <c r="J23" s="33">
        <f t="shared" si="12"/>
        <v>0.1</v>
      </c>
      <c r="K23" s="22">
        <f>E23*9.3/200</f>
        <v>9.3000000000000007</v>
      </c>
      <c r="L23" s="33">
        <f>F23*9.3/200</f>
        <v>9.3000000000000007</v>
      </c>
      <c r="M23" s="22">
        <f t="shared" si="11"/>
        <v>38.900000000000006</v>
      </c>
      <c r="N23" s="35">
        <f t="shared" si="11"/>
        <v>38.900000000000006</v>
      </c>
    </row>
    <row r="24" spans="2:26" x14ac:dyDescent="0.25">
      <c r="B24" s="263"/>
      <c r="C24" s="26"/>
      <c r="D24" s="4" t="s">
        <v>13</v>
      </c>
      <c r="E24" s="24">
        <f t="shared" ref="E24:L24" si="13">SUM(E21:E23)</f>
        <v>380</v>
      </c>
      <c r="F24" s="32">
        <f t="shared" si="13"/>
        <v>440</v>
      </c>
      <c r="G24" s="7">
        <f t="shared" si="13"/>
        <v>6.2299999999999995</v>
      </c>
      <c r="H24" s="34">
        <f t="shared" si="13"/>
        <v>8.2399999999999984</v>
      </c>
      <c r="I24" s="7">
        <f t="shared" si="13"/>
        <v>5.14</v>
      </c>
      <c r="J24" s="34">
        <f t="shared" si="13"/>
        <v>6.82</v>
      </c>
      <c r="K24" s="7">
        <f t="shared" si="13"/>
        <v>44.234999999999999</v>
      </c>
      <c r="L24" s="34">
        <f t="shared" si="13"/>
        <v>55.900000000000006</v>
      </c>
      <c r="M24" s="7">
        <f t="shared" ref="M24:N24" si="14">G24*4+I24*9+K24*4</f>
        <v>248.12</v>
      </c>
      <c r="N24" s="36">
        <f t="shared" si="14"/>
        <v>317.94000000000005</v>
      </c>
    </row>
    <row r="25" spans="2:26" x14ac:dyDescent="0.25">
      <c r="B25" s="263"/>
      <c r="C25" s="244" t="s">
        <v>9</v>
      </c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3"/>
    </row>
    <row r="26" spans="2:26" x14ac:dyDescent="0.25">
      <c r="B26" s="263"/>
      <c r="C26" s="130" t="s">
        <v>95</v>
      </c>
      <c r="D26" s="9" t="s">
        <v>96</v>
      </c>
      <c r="E26" s="129">
        <v>60</v>
      </c>
      <c r="F26" s="43">
        <v>100</v>
      </c>
      <c r="G26" s="23">
        <f>E26*0.7/100</f>
        <v>0.42</v>
      </c>
      <c r="H26" s="44">
        <f>F26*0.7/100</f>
        <v>0.7</v>
      </c>
      <c r="I26" s="23">
        <f>E26*0.1/100</f>
        <v>0.06</v>
      </c>
      <c r="J26" s="44">
        <f>F26*0.1/100</f>
        <v>0.1</v>
      </c>
      <c r="K26" s="23">
        <f>E26*1.9/100</f>
        <v>1.1399999999999999</v>
      </c>
      <c r="L26" s="44">
        <f>F26*1.9/100</f>
        <v>1.9</v>
      </c>
      <c r="M26" s="23">
        <f t="shared" ref="M26:N26" si="15">G26*4+I26*9+K26*4</f>
        <v>6.7799999999999994</v>
      </c>
      <c r="N26" s="41">
        <f t="shared" si="15"/>
        <v>11.299999999999999</v>
      </c>
    </row>
    <row r="27" spans="2:26" x14ac:dyDescent="0.25">
      <c r="B27" s="263"/>
      <c r="C27" s="94" t="s">
        <v>179</v>
      </c>
      <c r="D27" s="9" t="s">
        <v>180</v>
      </c>
      <c r="E27" s="93">
        <v>200</v>
      </c>
      <c r="F27" s="43">
        <v>250</v>
      </c>
      <c r="G27" s="22">
        <f>E27*0.8/100</f>
        <v>1.6</v>
      </c>
      <c r="H27" s="33">
        <f>F27*0.8/100</f>
        <v>2</v>
      </c>
      <c r="I27" s="22">
        <f>E27*2.08/100</f>
        <v>4.16</v>
      </c>
      <c r="J27" s="33">
        <f>F27*2.08/100</f>
        <v>5.2</v>
      </c>
      <c r="K27" s="22">
        <f>E27*5.24/100</f>
        <v>10.48</v>
      </c>
      <c r="L27" s="33">
        <f>F27*5.24/100</f>
        <v>13.1</v>
      </c>
      <c r="M27" s="22">
        <f t="shared" ref="M27:N30" si="16">G27*4+I27*9+K27*4</f>
        <v>85.759999999999991</v>
      </c>
      <c r="N27" s="35">
        <f>H27*4+J27*9+L27*4</f>
        <v>107.2</v>
      </c>
    </row>
    <row r="28" spans="2:26" x14ac:dyDescent="0.25">
      <c r="B28" s="263"/>
      <c r="C28" s="130" t="s">
        <v>181</v>
      </c>
      <c r="D28" s="9" t="s">
        <v>182</v>
      </c>
      <c r="E28" s="84">
        <v>90</v>
      </c>
      <c r="F28" s="31">
        <v>100</v>
      </c>
      <c r="G28" s="22">
        <f>E28*12.8/100</f>
        <v>11.52</v>
      </c>
      <c r="H28" s="33">
        <f>F28*12.8/100</f>
        <v>12.8</v>
      </c>
      <c r="I28" s="22">
        <f>E28*13.6/100</f>
        <v>12.24</v>
      </c>
      <c r="J28" s="33">
        <f>F28*13.6/100</f>
        <v>13.6</v>
      </c>
      <c r="K28" s="22">
        <f>E28*9.9/100</f>
        <v>8.91</v>
      </c>
      <c r="L28" s="33">
        <f>F28*9.9/100</f>
        <v>9.9</v>
      </c>
      <c r="M28" s="22">
        <f t="shared" ref="M28" si="17">G28*4+I28*9+K28*4</f>
        <v>191.88</v>
      </c>
      <c r="N28" s="35">
        <f t="shared" ref="N28" si="18">H28*4+J28*9+L28*4</f>
        <v>213.2</v>
      </c>
    </row>
    <row r="29" spans="2:26" x14ac:dyDescent="0.25">
      <c r="B29" s="263"/>
      <c r="C29" s="94" t="s">
        <v>20</v>
      </c>
      <c r="D29" s="9" t="s">
        <v>21</v>
      </c>
      <c r="E29" s="84">
        <v>150</v>
      </c>
      <c r="F29" s="31">
        <v>180</v>
      </c>
      <c r="G29" s="22">
        <f>E29*2.1/100</f>
        <v>3.15</v>
      </c>
      <c r="H29" s="33">
        <f>F29*2.1/100</f>
        <v>3.78</v>
      </c>
      <c r="I29" s="22">
        <f>E29*3.5/100</f>
        <v>5.25</v>
      </c>
      <c r="J29" s="33">
        <f>F29*3.5/100</f>
        <v>6.3</v>
      </c>
      <c r="K29" s="22">
        <f>E29*14.6/100</f>
        <v>21.9</v>
      </c>
      <c r="L29" s="33">
        <f>F29*14.6/100</f>
        <v>26.28</v>
      </c>
      <c r="M29" s="22">
        <f t="shared" si="16"/>
        <v>147.44999999999999</v>
      </c>
      <c r="N29" s="35">
        <f t="shared" si="16"/>
        <v>176.94</v>
      </c>
    </row>
    <row r="30" spans="2:26" x14ac:dyDescent="0.25">
      <c r="B30" s="263"/>
      <c r="C30" s="130" t="s">
        <v>76</v>
      </c>
      <c r="D30" s="9" t="s">
        <v>77</v>
      </c>
      <c r="E30" s="84">
        <v>40</v>
      </c>
      <c r="F30" s="31">
        <v>50</v>
      </c>
      <c r="G30" s="22">
        <f>E30*1.3/50</f>
        <v>1.04</v>
      </c>
      <c r="H30" s="33">
        <f>F30*1.3/50</f>
        <v>1.3</v>
      </c>
      <c r="I30" s="22">
        <f>E30*4.8/50</f>
        <v>3.84</v>
      </c>
      <c r="J30" s="33">
        <f>F30*4.8/50</f>
        <v>4.8</v>
      </c>
      <c r="K30" s="22">
        <f>E30*4.7/50</f>
        <v>3.76</v>
      </c>
      <c r="L30" s="33">
        <f>F30*4.7/50</f>
        <v>4.7</v>
      </c>
      <c r="M30" s="22">
        <f t="shared" si="16"/>
        <v>53.76</v>
      </c>
      <c r="N30" s="35">
        <f t="shared" si="16"/>
        <v>67.2</v>
      </c>
    </row>
    <row r="31" spans="2:26" x14ac:dyDescent="0.25">
      <c r="B31" s="263"/>
      <c r="C31" s="20" t="s">
        <v>112</v>
      </c>
      <c r="D31" s="9" t="s">
        <v>113</v>
      </c>
      <c r="E31" s="76">
        <v>200</v>
      </c>
      <c r="F31" s="31">
        <v>200</v>
      </c>
      <c r="G31" s="22">
        <f>E31*0.67/200</f>
        <v>0.67</v>
      </c>
      <c r="H31" s="33">
        <f>F31*0.67/200</f>
        <v>0.67</v>
      </c>
      <c r="I31" s="22">
        <f>E31*0.27/200</f>
        <v>0.27</v>
      </c>
      <c r="J31" s="33">
        <f>F31*0.27/200</f>
        <v>0.27</v>
      </c>
      <c r="K31" s="22">
        <f>E31*18.3/200</f>
        <v>18.3</v>
      </c>
      <c r="L31" s="33">
        <f>F31*18.3/200</f>
        <v>18.3</v>
      </c>
      <c r="M31" s="22">
        <f t="shared" ref="M31:N31" si="19">G31*4+I31*9+K31*4</f>
        <v>78.31</v>
      </c>
      <c r="N31" s="35">
        <f t="shared" si="19"/>
        <v>78.31</v>
      </c>
    </row>
    <row r="32" spans="2:26" x14ac:dyDescent="0.25">
      <c r="B32" s="263"/>
      <c r="C32" s="21" t="s">
        <v>84</v>
      </c>
      <c r="D32" s="6" t="s">
        <v>22</v>
      </c>
      <c r="E32" s="59">
        <v>20</v>
      </c>
      <c r="F32" s="60">
        <v>20</v>
      </c>
      <c r="G32" s="22">
        <f>E32*8/100</f>
        <v>1.6</v>
      </c>
      <c r="H32" s="33">
        <f>F32*8/100</f>
        <v>1.6</v>
      </c>
      <c r="I32" s="22">
        <f>E32*1.5/100</f>
        <v>0.3</v>
      </c>
      <c r="J32" s="33">
        <f>F32*1.5/100</f>
        <v>0.3</v>
      </c>
      <c r="K32" s="22">
        <f>E32*40.1/100</f>
        <v>8.02</v>
      </c>
      <c r="L32" s="33">
        <f>F32*40.1/100</f>
        <v>8.02</v>
      </c>
      <c r="M32" s="22">
        <f t="shared" ref="M32:N33" si="20">G32*4+I32*9+K32*4</f>
        <v>41.18</v>
      </c>
      <c r="N32" s="35">
        <f t="shared" si="20"/>
        <v>41.18</v>
      </c>
    </row>
    <row r="33" spans="2:15" x14ac:dyDescent="0.25">
      <c r="B33" s="263"/>
      <c r="C33" s="21" t="s">
        <v>85</v>
      </c>
      <c r="D33" s="6" t="s">
        <v>86</v>
      </c>
      <c r="E33" s="59">
        <v>45</v>
      </c>
      <c r="F33" s="60">
        <v>50</v>
      </c>
      <c r="G33" s="22">
        <f>E33*7.6/100</f>
        <v>3.42</v>
      </c>
      <c r="H33" s="33">
        <f>F33*7.6/100</f>
        <v>3.8</v>
      </c>
      <c r="I33" s="22">
        <f>E33*0.8/100</f>
        <v>0.36</v>
      </c>
      <c r="J33" s="33">
        <f>F33*0.8/100</f>
        <v>0.4</v>
      </c>
      <c r="K33" s="22">
        <f>E33*49.2/100</f>
        <v>22.14</v>
      </c>
      <c r="L33" s="33">
        <f>F33*49.2/100</f>
        <v>24.6</v>
      </c>
      <c r="M33" s="22">
        <f t="shared" si="20"/>
        <v>105.48</v>
      </c>
      <c r="N33" s="35">
        <f t="shared" si="20"/>
        <v>117.2</v>
      </c>
    </row>
    <row r="34" spans="2:15" x14ac:dyDescent="0.25">
      <c r="B34" s="263"/>
      <c r="C34" s="21"/>
      <c r="D34" s="4" t="s">
        <v>14</v>
      </c>
      <c r="E34" s="24">
        <f t="shared" ref="E34:N34" si="21">SUM(E26:E33)</f>
        <v>805</v>
      </c>
      <c r="F34" s="38">
        <f t="shared" si="21"/>
        <v>950</v>
      </c>
      <c r="G34" s="7">
        <f t="shared" si="21"/>
        <v>23.42</v>
      </c>
      <c r="H34" s="34">
        <f t="shared" si="21"/>
        <v>26.650000000000006</v>
      </c>
      <c r="I34" s="24">
        <f t="shared" si="21"/>
        <v>26.48</v>
      </c>
      <c r="J34" s="34">
        <f t="shared" si="21"/>
        <v>30.97</v>
      </c>
      <c r="K34" s="7">
        <f t="shared" si="21"/>
        <v>94.649999999999991</v>
      </c>
      <c r="L34" s="34">
        <f t="shared" si="21"/>
        <v>106.80000000000001</v>
      </c>
      <c r="M34" s="7">
        <f t="shared" si="21"/>
        <v>710.59999999999991</v>
      </c>
      <c r="N34" s="36">
        <f t="shared" si="21"/>
        <v>812.53000000000009</v>
      </c>
    </row>
    <row r="35" spans="2:15" ht="15.75" thickBot="1" x14ac:dyDescent="0.3">
      <c r="B35" s="264"/>
      <c r="C35" s="25"/>
      <c r="D35" s="17" t="s">
        <v>12</v>
      </c>
      <c r="E35" s="18"/>
      <c r="F35" s="39"/>
      <c r="G35" s="19">
        <f t="shared" ref="G35:N35" si="22">G24+G34</f>
        <v>29.650000000000002</v>
      </c>
      <c r="H35" s="40">
        <f t="shared" si="22"/>
        <v>34.89</v>
      </c>
      <c r="I35" s="19">
        <f t="shared" si="22"/>
        <v>31.62</v>
      </c>
      <c r="J35" s="40">
        <f t="shared" si="22"/>
        <v>37.79</v>
      </c>
      <c r="K35" s="19">
        <f t="shared" si="22"/>
        <v>138.88499999999999</v>
      </c>
      <c r="L35" s="40">
        <f t="shared" si="22"/>
        <v>162.70000000000002</v>
      </c>
      <c r="M35" s="19">
        <f t="shared" si="22"/>
        <v>958.71999999999991</v>
      </c>
      <c r="N35" s="42">
        <f t="shared" si="22"/>
        <v>1130.4700000000003</v>
      </c>
    </row>
    <row r="36" spans="2:15" x14ac:dyDescent="0.25">
      <c r="B36" s="274" t="s">
        <v>52</v>
      </c>
      <c r="C36" s="244" t="s">
        <v>9</v>
      </c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3"/>
    </row>
    <row r="37" spans="2:15" x14ac:dyDescent="0.25">
      <c r="B37" s="274"/>
      <c r="C37" s="94" t="s">
        <v>19</v>
      </c>
      <c r="D37" s="8" t="s">
        <v>88</v>
      </c>
      <c r="E37" s="93">
        <v>200</v>
      </c>
      <c r="F37" s="43">
        <v>250</v>
      </c>
      <c r="G37" s="23">
        <f>E37*2.9/250</f>
        <v>2.3199999999999998</v>
      </c>
      <c r="H37" s="44">
        <f>F37*2.9/250</f>
        <v>2.9</v>
      </c>
      <c r="I37" s="23">
        <f>E37*2.5/250</f>
        <v>2</v>
      </c>
      <c r="J37" s="44">
        <f>F37*2.5/250</f>
        <v>2.5</v>
      </c>
      <c r="K37" s="23">
        <f>E37*21/250</f>
        <v>16.8</v>
      </c>
      <c r="L37" s="44">
        <f>F37*21/250</f>
        <v>21</v>
      </c>
      <c r="M37" s="23">
        <f t="shared" ref="M37:N39" si="23">G37*4+I37*9+K37*4</f>
        <v>94.48</v>
      </c>
      <c r="N37" s="41">
        <f t="shared" si="23"/>
        <v>118.1</v>
      </c>
    </row>
    <row r="38" spans="2:15" x14ac:dyDescent="0.25">
      <c r="B38" s="274"/>
      <c r="C38" s="94" t="s">
        <v>184</v>
      </c>
      <c r="D38" s="8" t="s">
        <v>185</v>
      </c>
      <c r="E38" s="84">
        <v>230</v>
      </c>
      <c r="F38" s="31">
        <v>250</v>
      </c>
      <c r="G38" s="22">
        <f>E38*10.8/100</f>
        <v>24.84</v>
      </c>
      <c r="H38" s="33">
        <f>F38*10.8/100</f>
        <v>27</v>
      </c>
      <c r="I38" s="84">
        <f>E38*5.9/100</f>
        <v>13.57</v>
      </c>
      <c r="J38" s="33">
        <f>F38*5.9/100</f>
        <v>14.75</v>
      </c>
      <c r="K38" s="22">
        <f>E38*18.9/100</f>
        <v>43.47</v>
      </c>
      <c r="L38" s="33">
        <f>F38*18.9/100</f>
        <v>47.25</v>
      </c>
      <c r="M38" s="22">
        <f t="shared" si="23"/>
        <v>395.37</v>
      </c>
      <c r="N38" s="35">
        <f t="shared" si="23"/>
        <v>429.75</v>
      </c>
    </row>
    <row r="39" spans="2:15" x14ac:dyDescent="0.25">
      <c r="B39" s="274"/>
      <c r="C39" s="130" t="s">
        <v>54</v>
      </c>
      <c r="D39" s="9" t="s">
        <v>55</v>
      </c>
      <c r="E39" s="84">
        <v>200</v>
      </c>
      <c r="F39" s="31">
        <v>200</v>
      </c>
      <c r="G39" s="22">
        <f>E39*0.6/200</f>
        <v>0.6</v>
      </c>
      <c r="H39" s="33">
        <f>F39*0.6/200</f>
        <v>0.6</v>
      </c>
      <c r="I39" s="22">
        <f t="shared" ref="I39" si="24">E39*0.1/200</f>
        <v>0.1</v>
      </c>
      <c r="J39" s="33">
        <f t="shared" ref="J39" si="25">F39*0.1/200</f>
        <v>0.1</v>
      </c>
      <c r="K39" s="22">
        <f>E39*20.1/200</f>
        <v>20.100000000000001</v>
      </c>
      <c r="L39" s="33">
        <f>F39*20.1/200</f>
        <v>20.100000000000001</v>
      </c>
      <c r="M39" s="22">
        <f t="shared" si="23"/>
        <v>83.7</v>
      </c>
      <c r="N39" s="35">
        <f t="shared" si="23"/>
        <v>83.7</v>
      </c>
    </row>
    <row r="40" spans="2:15" x14ac:dyDescent="0.25">
      <c r="B40" s="274"/>
      <c r="C40" s="21" t="s">
        <v>84</v>
      </c>
      <c r="D40" s="6" t="s">
        <v>22</v>
      </c>
      <c r="E40" s="59">
        <v>20</v>
      </c>
      <c r="F40" s="60">
        <v>20</v>
      </c>
      <c r="G40" s="22">
        <f>E40*8/100</f>
        <v>1.6</v>
      </c>
      <c r="H40" s="33">
        <f>F40*8/100</f>
        <v>1.6</v>
      </c>
      <c r="I40" s="22">
        <f>E40*1.5/100</f>
        <v>0.3</v>
      </c>
      <c r="J40" s="33">
        <f>F40*1.5/100</f>
        <v>0.3</v>
      </c>
      <c r="K40" s="22">
        <f>E40*40.1/100</f>
        <v>8.02</v>
      </c>
      <c r="L40" s="33">
        <f>F40*40.1/100</f>
        <v>8.02</v>
      </c>
      <c r="M40" s="22">
        <f t="shared" ref="M40:N41" si="26">G40*4+I40*9+K40*4</f>
        <v>41.18</v>
      </c>
      <c r="N40" s="35">
        <f t="shared" si="26"/>
        <v>41.18</v>
      </c>
    </row>
    <row r="41" spans="2:15" x14ac:dyDescent="0.25">
      <c r="B41" s="274"/>
      <c r="C41" s="21" t="s">
        <v>85</v>
      </c>
      <c r="D41" s="6" t="s">
        <v>86</v>
      </c>
      <c r="E41" s="59">
        <v>40</v>
      </c>
      <c r="F41" s="60">
        <v>40</v>
      </c>
      <c r="G41" s="22">
        <f>E41*7.6/100</f>
        <v>3.04</v>
      </c>
      <c r="H41" s="33">
        <f>F41*7.6/100</f>
        <v>3.04</v>
      </c>
      <c r="I41" s="22">
        <f>E41*0.8/100</f>
        <v>0.32</v>
      </c>
      <c r="J41" s="33">
        <f>F41*0.8/100</f>
        <v>0.32</v>
      </c>
      <c r="K41" s="22">
        <f>E41*49.2/100</f>
        <v>19.68</v>
      </c>
      <c r="L41" s="33">
        <f>F41*49.2/100</f>
        <v>19.68</v>
      </c>
      <c r="M41" s="22">
        <f t="shared" si="26"/>
        <v>93.759999999999991</v>
      </c>
      <c r="N41" s="35">
        <f t="shared" si="26"/>
        <v>93.759999999999991</v>
      </c>
    </row>
    <row r="42" spans="2:15" ht="15.75" thickBot="1" x14ac:dyDescent="0.3">
      <c r="B42" s="274"/>
      <c r="C42" s="21"/>
      <c r="D42" s="4" t="s">
        <v>14</v>
      </c>
      <c r="E42" s="24">
        <f t="shared" ref="E42:N42" si="27">SUM(E37:E41)</f>
        <v>690</v>
      </c>
      <c r="F42" s="38">
        <f t="shared" si="27"/>
        <v>760</v>
      </c>
      <c r="G42" s="7">
        <f t="shared" si="27"/>
        <v>32.400000000000006</v>
      </c>
      <c r="H42" s="34">
        <f t="shared" si="27"/>
        <v>35.14</v>
      </c>
      <c r="I42" s="24">
        <f t="shared" si="27"/>
        <v>16.29</v>
      </c>
      <c r="J42" s="34">
        <f t="shared" si="27"/>
        <v>17.970000000000002</v>
      </c>
      <c r="K42" s="7">
        <f t="shared" si="27"/>
        <v>108.07</v>
      </c>
      <c r="L42" s="34">
        <f t="shared" si="27"/>
        <v>116.04999999999998</v>
      </c>
      <c r="M42" s="7">
        <f t="shared" si="27"/>
        <v>708.49</v>
      </c>
      <c r="N42" s="36">
        <f t="shared" si="27"/>
        <v>766.49</v>
      </c>
    </row>
    <row r="43" spans="2:15" ht="21.75" customHeight="1" thickBot="1" x14ac:dyDescent="0.3">
      <c r="B43" s="51"/>
      <c r="C43" s="268" t="s">
        <v>57</v>
      </c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1"/>
    </row>
    <row r="44" spans="2:15" x14ac:dyDescent="0.25">
      <c r="B44" s="272" t="s">
        <v>27</v>
      </c>
      <c r="C44" s="273"/>
      <c r="D44" s="269" t="s">
        <v>28</v>
      </c>
      <c r="E44" s="270"/>
      <c r="F44" s="270"/>
      <c r="G44" s="270"/>
      <c r="H44" s="270"/>
      <c r="I44" s="270"/>
      <c r="J44" s="270"/>
      <c r="K44" s="270"/>
      <c r="L44" s="270"/>
      <c r="M44" s="270"/>
      <c r="N44" s="271"/>
    </row>
    <row r="45" spans="2:15" x14ac:dyDescent="0.25">
      <c r="B45" s="194"/>
      <c r="C45" s="136"/>
      <c r="D45" s="254" t="s">
        <v>41</v>
      </c>
      <c r="E45" s="255"/>
      <c r="F45" s="255"/>
      <c r="G45" s="255"/>
      <c r="H45" s="255"/>
      <c r="I45" s="255"/>
      <c r="J45" s="255"/>
      <c r="K45" s="255"/>
      <c r="L45" s="255"/>
      <c r="M45" s="255"/>
      <c r="N45" s="256"/>
    </row>
    <row r="46" spans="2:15" x14ac:dyDescent="0.25">
      <c r="B46" s="194" t="s">
        <v>29</v>
      </c>
      <c r="C46" s="136"/>
      <c r="D46" s="251" t="s">
        <v>30</v>
      </c>
      <c r="E46" s="252"/>
      <c r="F46" s="252"/>
      <c r="G46" s="252"/>
      <c r="H46" s="252"/>
      <c r="I46" s="252"/>
      <c r="J46" s="252"/>
      <c r="K46" s="252"/>
      <c r="L46" s="252"/>
      <c r="M46" s="252"/>
      <c r="N46" s="253"/>
    </row>
    <row r="47" spans="2:15" x14ac:dyDescent="0.25">
      <c r="B47" s="194"/>
      <c r="C47" s="136"/>
      <c r="D47" s="265" t="s">
        <v>31</v>
      </c>
      <c r="E47" s="266"/>
      <c r="F47" s="266"/>
      <c r="G47" s="266"/>
      <c r="H47" s="266"/>
      <c r="I47" s="266"/>
      <c r="J47" s="266"/>
      <c r="K47" s="266"/>
      <c r="L47" s="266"/>
      <c r="M47" s="266"/>
      <c r="N47" s="267"/>
    </row>
    <row r="48" spans="2:15" x14ac:dyDescent="0.25">
      <c r="B48" s="194" t="s">
        <v>32</v>
      </c>
      <c r="C48" s="136"/>
      <c r="D48" s="251" t="s">
        <v>30</v>
      </c>
      <c r="E48" s="252"/>
      <c r="F48" s="252"/>
      <c r="G48" s="252"/>
      <c r="H48" s="252"/>
      <c r="I48" s="252"/>
      <c r="J48" s="252"/>
      <c r="K48" s="252"/>
      <c r="L48" s="252"/>
      <c r="M48" s="252"/>
      <c r="N48" s="253"/>
    </row>
    <row r="49" spans="2:14" x14ac:dyDescent="0.25">
      <c r="B49" s="194"/>
      <c r="C49" s="136"/>
      <c r="D49" s="254" t="s">
        <v>33</v>
      </c>
      <c r="E49" s="255"/>
      <c r="F49" s="255"/>
      <c r="G49" s="255"/>
      <c r="H49" s="255"/>
      <c r="I49" s="255"/>
      <c r="J49" s="255"/>
      <c r="K49" s="255"/>
      <c r="L49" s="255"/>
      <c r="M49" s="255"/>
      <c r="N49" s="256"/>
    </row>
    <row r="50" spans="2:14" x14ac:dyDescent="0.25">
      <c r="B50" s="194" t="s">
        <v>38</v>
      </c>
      <c r="C50" s="136"/>
      <c r="D50" s="49" t="s">
        <v>39</v>
      </c>
      <c r="E50" s="10"/>
      <c r="F50" s="11"/>
      <c r="G50" s="11"/>
      <c r="H50" s="11"/>
      <c r="I50" s="11"/>
      <c r="J50" s="11"/>
      <c r="K50" s="11"/>
      <c r="L50" s="11"/>
      <c r="M50" s="11"/>
      <c r="N50" s="46"/>
    </row>
    <row r="51" spans="2:14" ht="15.75" thickBot="1" x14ac:dyDescent="0.3">
      <c r="B51" s="260"/>
      <c r="C51" s="261"/>
      <c r="D51" s="257" t="s">
        <v>40</v>
      </c>
      <c r="E51" s="258"/>
      <c r="F51" s="258"/>
      <c r="G51" s="258"/>
      <c r="H51" s="258"/>
      <c r="I51" s="258"/>
      <c r="J51" s="258"/>
      <c r="K51" s="258"/>
      <c r="L51" s="258"/>
      <c r="M51" s="258"/>
      <c r="N51" s="259"/>
    </row>
    <row r="54" spans="2:14" x14ac:dyDescent="0.25">
      <c r="D54" s="1"/>
    </row>
    <row r="55" spans="2:14" x14ac:dyDescent="0.25">
      <c r="D55" s="1"/>
      <c r="E55" s="16" t="s">
        <v>24</v>
      </c>
    </row>
    <row r="56" spans="2:14" x14ac:dyDescent="0.25">
      <c r="E56" s="16" t="s">
        <v>24</v>
      </c>
      <c r="F56" s="1"/>
    </row>
    <row r="64" spans="2:14" x14ac:dyDescent="0.25">
      <c r="J64" s="1"/>
    </row>
  </sheetData>
  <mergeCells count="30">
    <mergeCell ref="B6:B19"/>
    <mergeCell ref="B20:B35"/>
    <mergeCell ref="D47:N47"/>
    <mergeCell ref="C43:N43"/>
    <mergeCell ref="D44:N44"/>
    <mergeCell ref="D45:N45"/>
    <mergeCell ref="B44:C45"/>
    <mergeCell ref="C20:N20"/>
    <mergeCell ref="C25:N25"/>
    <mergeCell ref="B36:B42"/>
    <mergeCell ref="C36:N36"/>
    <mergeCell ref="C11:N11"/>
    <mergeCell ref="D48:N48"/>
    <mergeCell ref="D49:N49"/>
    <mergeCell ref="D51:N51"/>
    <mergeCell ref="B46:C47"/>
    <mergeCell ref="B48:C49"/>
    <mergeCell ref="B50:C51"/>
    <mergeCell ref="D46:N46"/>
    <mergeCell ref="M3:N4"/>
    <mergeCell ref="G4:H4"/>
    <mergeCell ref="I4:J4"/>
    <mergeCell ref="K4:L4"/>
    <mergeCell ref="C6:N6"/>
    <mergeCell ref="G3:L3"/>
    <mergeCell ref="B2:E2"/>
    <mergeCell ref="B3:B5"/>
    <mergeCell ref="C3:C5"/>
    <mergeCell ref="D3:D5"/>
    <mergeCell ref="E3:F4"/>
  </mergeCells>
  <pageMargins left="0.23622047244094491" right="0.23622047244094491" top="0.19685039370078741" bottom="0.19685039370078741" header="0.31496062992125984" footer="0.31496062992125984"/>
  <pageSetup paperSize="9" scale="75" fitToHeight="0" orientation="landscape" horizontalDpi="180" verticalDpi="180" r:id="rId1"/>
  <ignoredErrors>
    <ignoredError sqref="I13:J1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сводная</vt:lpstr>
      <vt:lpstr>1 (пон,вт,ср)</vt:lpstr>
      <vt:lpstr>1 (чт,пт,сб)</vt:lpstr>
      <vt:lpstr>2 (пон,вт,ср)</vt:lpstr>
      <vt:lpstr>2 (чт,пт,сб)</vt:lpstr>
      <vt:lpstr>000</vt:lpstr>
      <vt:lpstr>'2 (пон,вт,ср)'!Область_печати</vt:lpstr>
      <vt:lpstr>'2 (чт,пт,сб)'!Область_печати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2024-04-14T05:45:59Z</dcterms:modified>
</cp:coreProperties>
</file>